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2013 (отчет за год)" sheetId="2" r:id="rId1"/>
    <sheet name="отчет2013" sheetId="1" r:id="rId2"/>
  </sheets>
  <externalReferences>
    <externalReference r:id="rId3"/>
    <externalReference r:id="rId4"/>
    <externalReference r:id="rId5"/>
    <externalReference r:id="rId6"/>
  </externalReferences>
  <calcPr calcId="145621" refMode="R1C1"/>
</workbook>
</file>

<file path=xl/calcChain.xml><?xml version="1.0" encoding="utf-8"?>
<calcChain xmlns="http://schemas.openxmlformats.org/spreadsheetml/2006/main">
  <c r="D50" i="2" l="1"/>
  <c r="E50" i="2"/>
  <c r="F50" i="2"/>
  <c r="G50" i="2"/>
  <c r="H50" i="2"/>
  <c r="E12" i="2"/>
  <c r="F12" i="2"/>
  <c r="G12" i="2"/>
  <c r="H12" i="2"/>
  <c r="D12" i="2"/>
  <c r="E18" i="2"/>
  <c r="F18" i="2"/>
  <c r="G18" i="2"/>
  <c r="H18" i="2"/>
  <c r="D18" i="2"/>
  <c r="E31" i="2"/>
  <c r="F31" i="2"/>
  <c r="G31" i="2"/>
  <c r="H31" i="2"/>
  <c r="D31" i="2"/>
  <c r="D37" i="2"/>
  <c r="E37" i="2"/>
  <c r="F37" i="2"/>
  <c r="G37" i="2"/>
  <c r="H37" i="2"/>
  <c r="H42" i="2" l="1"/>
  <c r="I42" i="2" s="1"/>
  <c r="G51" i="2"/>
  <c r="D49" i="2"/>
  <c r="I48" i="2"/>
  <c r="E48" i="2"/>
  <c r="D48" i="2"/>
  <c r="F48" i="2" s="1"/>
  <c r="I47" i="2"/>
  <c r="E47" i="2"/>
  <c r="D47" i="2"/>
  <c r="F47" i="2" s="1"/>
  <c r="I46" i="2"/>
  <c r="E46" i="2"/>
  <c r="D46" i="2"/>
  <c r="F46" i="2" s="1"/>
  <c r="H45" i="2"/>
  <c r="D45" i="2"/>
  <c r="E45" i="2" s="1"/>
  <c r="D44" i="2"/>
  <c r="I44" i="2" s="1"/>
  <c r="D43" i="2"/>
  <c r="I43" i="2" s="1"/>
  <c r="F42" i="2"/>
  <c r="E42" i="2"/>
  <c r="D41" i="2"/>
  <c r="I41" i="2" s="1"/>
  <c r="I40" i="2"/>
  <c r="F40" i="2"/>
  <c r="E40" i="2"/>
  <c r="I39" i="2"/>
  <c r="F39" i="2"/>
  <c r="E39" i="2"/>
  <c r="D38" i="2"/>
  <c r="I38" i="2" s="1"/>
  <c r="I37" i="2"/>
  <c r="I36" i="2"/>
  <c r="H36" i="2"/>
  <c r="F36" i="2"/>
  <c r="E36" i="2"/>
  <c r="I35" i="2"/>
  <c r="F35" i="2"/>
  <c r="E35" i="2"/>
  <c r="I34" i="2"/>
  <c r="E34" i="2"/>
  <c r="H33" i="2"/>
  <c r="I33" i="2" s="1"/>
  <c r="E33" i="2"/>
  <c r="D33" i="2"/>
  <c r="F33" i="2" s="1"/>
  <c r="H32" i="2"/>
  <c r="D32" i="2"/>
  <c r="E32" i="2" s="1"/>
  <c r="I31" i="2"/>
  <c r="I30" i="2"/>
  <c r="H30" i="2"/>
  <c r="I29" i="2"/>
  <c r="E29" i="2"/>
  <c r="D29" i="2"/>
  <c r="F29" i="2" s="1"/>
  <c r="I28" i="2"/>
  <c r="E28" i="2"/>
  <c r="D28" i="2"/>
  <c r="F28" i="2" s="1"/>
  <c r="I27" i="2"/>
  <c r="H27" i="2"/>
  <c r="F27" i="2"/>
  <c r="E27" i="2"/>
  <c r="I26" i="2"/>
  <c r="F26" i="2"/>
  <c r="E26" i="2"/>
  <c r="I25" i="2"/>
  <c r="F25" i="2"/>
  <c r="E25" i="2"/>
  <c r="I24" i="2"/>
  <c r="F24" i="2"/>
  <c r="E24" i="2"/>
  <c r="H23" i="2"/>
  <c r="I23" i="2" s="1"/>
  <c r="F23" i="2"/>
  <c r="E23" i="2"/>
  <c r="H22" i="2"/>
  <c r="I22" i="2" s="1"/>
  <c r="F22" i="2"/>
  <c r="E22" i="2"/>
  <c r="I21" i="2"/>
  <c r="F21" i="2"/>
  <c r="E21" i="2"/>
  <c r="I20" i="2"/>
  <c r="F20" i="2"/>
  <c r="E20" i="2"/>
  <c r="I19" i="2"/>
  <c r="F19" i="2"/>
  <c r="E19" i="2"/>
  <c r="I18" i="2"/>
  <c r="D17" i="2"/>
  <c r="I17" i="2" s="1"/>
  <c r="I16" i="2"/>
  <c r="H15" i="2"/>
  <c r="I14" i="2"/>
  <c r="F14" i="2"/>
  <c r="E14" i="2"/>
  <c r="I13" i="2"/>
  <c r="H13" i="2"/>
  <c r="F13" i="2"/>
  <c r="E13" i="2"/>
  <c r="I12" i="2"/>
  <c r="D11" i="2"/>
  <c r="I11" i="2" s="1"/>
  <c r="I10" i="2"/>
  <c r="I9" i="2"/>
  <c r="F9" i="2"/>
  <c r="E9" i="2"/>
  <c r="I8" i="2"/>
  <c r="F8" i="2"/>
  <c r="E8" i="2"/>
  <c r="I7" i="2"/>
  <c r="F7" i="2"/>
  <c r="E7" i="2"/>
  <c r="D6" i="2"/>
  <c r="I6" i="2" s="1"/>
  <c r="I5" i="2"/>
  <c r="F5" i="2"/>
  <c r="E5" i="2"/>
  <c r="H51" i="2" l="1"/>
  <c r="F17" i="2"/>
  <c r="F32" i="2"/>
  <c r="I32" i="2"/>
  <c r="F38" i="2"/>
  <c r="F41" i="2"/>
  <c r="F43" i="2"/>
  <c r="F44" i="2"/>
  <c r="F45" i="2"/>
  <c r="I45" i="2"/>
  <c r="D51" i="2"/>
  <c r="F6" i="2"/>
  <c r="F51" i="2" s="1"/>
  <c r="F11" i="2"/>
  <c r="E6" i="2"/>
  <c r="E11" i="2"/>
  <c r="E51" i="2" s="1"/>
  <c r="E17" i="2"/>
  <c r="E38" i="2"/>
  <c r="E41" i="2"/>
  <c r="E43" i="2"/>
  <c r="E44" i="2"/>
  <c r="I50" i="2" l="1"/>
  <c r="H27" i="1" l="1"/>
  <c r="F21" i="1"/>
  <c r="E21" i="1"/>
  <c r="H21" i="1" s="1"/>
  <c r="D21" i="1"/>
  <c r="C21" i="1"/>
  <c r="F20" i="1"/>
  <c r="E20" i="1"/>
  <c r="D20" i="1" s="1"/>
  <c r="F19" i="1"/>
  <c r="E19" i="1"/>
  <c r="H19" i="1" s="1"/>
  <c r="C19" i="1"/>
  <c r="F18" i="1"/>
  <c r="E18" i="1"/>
  <c r="D18" i="1"/>
  <c r="H18" i="1" s="1"/>
  <c r="F17" i="1"/>
  <c r="E17" i="1"/>
  <c r="H17" i="1" s="1"/>
  <c r="C17" i="1"/>
  <c r="F16" i="1"/>
  <c r="E16" i="1"/>
  <c r="D16" i="1"/>
  <c r="C16" i="1"/>
  <c r="F15" i="1"/>
  <c r="E15" i="1"/>
  <c r="H15" i="1" s="1"/>
  <c r="C15" i="1"/>
  <c r="F14" i="1"/>
  <c r="E14" i="1"/>
  <c r="D14" i="1"/>
  <c r="C14" i="1"/>
  <c r="F13" i="1"/>
  <c r="E13" i="1"/>
  <c r="H13" i="1" s="1"/>
  <c r="C13" i="1"/>
  <c r="F12" i="1"/>
  <c r="E12" i="1"/>
  <c r="D12" i="1"/>
  <c r="D22" i="1" s="1"/>
  <c r="C12" i="1"/>
  <c r="H11" i="1"/>
  <c r="F10" i="1"/>
  <c r="E10" i="1"/>
  <c r="E22" i="1" s="1"/>
  <c r="C10" i="1"/>
  <c r="E7" i="1"/>
  <c r="E6" i="1"/>
  <c r="F22" i="1" l="1"/>
  <c r="G22" i="1" s="1"/>
  <c r="H14" i="1"/>
  <c r="H12" i="1"/>
  <c r="H16" i="1"/>
  <c r="F24" i="1"/>
  <c r="H25" i="1" s="1"/>
  <c r="H26" i="1"/>
  <c r="H28" i="1" s="1"/>
  <c r="E23" i="1"/>
  <c r="H20" i="1"/>
  <c r="C20" i="1"/>
  <c r="H10" i="1"/>
  <c r="C18" i="1"/>
  <c r="C22" i="1" s="1"/>
  <c r="H22" i="1" l="1"/>
</calcChain>
</file>

<file path=xl/comments1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39002,44нет акта Вазетдинов
-287 за 2012г отчет 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3000 нет акта Вайник
1000+72 за 2012г в отчете не учли</t>
        </r>
      </text>
    </comment>
  </commentList>
</comments>
</file>

<file path=xl/sharedStrings.xml><?xml version="1.0" encoding="utf-8"?>
<sst xmlns="http://schemas.openxmlformats.org/spreadsheetml/2006/main" count="162" uniqueCount="107">
  <si>
    <t xml:space="preserve">Справка-отчет </t>
  </si>
  <si>
    <t>финансового состояния</t>
  </si>
  <si>
    <t xml:space="preserve">дома №100 по ул. Озёрная </t>
  </si>
  <si>
    <t xml:space="preserve">                                   </t>
  </si>
  <si>
    <t>за  апрель 2013-март 2014год</t>
  </si>
  <si>
    <t>(рублей)</t>
  </si>
  <si>
    <t>Сальдо на 01.04.2013 по предоставленным услугам</t>
  </si>
  <si>
    <t>Сальдо на 01.04.2013 по оплате с учетом долга жителей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</si>
  <si>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</si>
  <si>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</si>
  <si>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</si>
  <si>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</si>
  <si>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</si>
  <si>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</si>
  <si>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% оплаты населением</t>
  </si>
  <si>
    <t>Разница  между гр.4-гр.5</t>
  </si>
  <si>
    <t>Содержание ОИМД+экспл. Мусоропровода</t>
  </si>
  <si>
    <t>Кап. Ремонт</t>
  </si>
  <si>
    <t xml:space="preserve">Г.вода </t>
  </si>
  <si>
    <t>Водоотведение</t>
  </si>
  <si>
    <t>Водоснабжение</t>
  </si>
  <si>
    <t>Вывоз мусора</t>
  </si>
  <si>
    <t>Отопление</t>
  </si>
  <si>
    <t>ТО домофона</t>
  </si>
  <si>
    <t>антенна</t>
  </si>
  <si>
    <t>Электроэнергия МОП</t>
  </si>
  <si>
    <t>пени</t>
  </si>
  <si>
    <t>Судебные расходы</t>
  </si>
  <si>
    <t>Всего</t>
  </si>
  <si>
    <t>Разница "Всего" между гр.3-гр.4</t>
  </si>
  <si>
    <t xml:space="preserve">Задолженность  жителей по оплате (гр.5-гр.6)  </t>
  </si>
  <si>
    <r>
      <t>Задолженность  жителей по оплате на 01.04.2014г.</t>
    </r>
    <r>
      <rPr>
        <sz val="10"/>
        <rFont val="Arial Cyr"/>
        <charset val="204"/>
      </rPr>
      <t xml:space="preserve"> с учетом сальдо</t>
    </r>
  </si>
  <si>
    <r>
      <t xml:space="preserve">Задолженность жителей по предоставленным услугам на 01.04.2014год </t>
    </r>
    <r>
      <rPr>
        <sz val="10"/>
        <rFont val="Arial Cyr"/>
        <charset val="204"/>
      </rPr>
      <t>с учетом сальдо</t>
    </r>
  </si>
  <si>
    <t>Доход по договору с ОАО "Ростелеком"</t>
  </si>
  <si>
    <t>Итого задолженность  жителей</t>
  </si>
  <si>
    <t xml:space="preserve">Генеральный директор ООО "УК"Перспектива"                                                                       </t>
  </si>
  <si>
    <t xml:space="preserve"> Л.В. Тягина</t>
  </si>
  <si>
    <t xml:space="preserve">Отчет утвержден председателем совета мжд №100 по ул. Озёрная           </t>
  </si>
  <si>
    <t xml:space="preserve"> Г.А.Данилова</t>
  </si>
  <si>
    <t>разница</t>
  </si>
  <si>
    <t>май</t>
  </si>
  <si>
    <t>План работ по содержанию и ремонту  ОИМД   Озёрная.100</t>
  </si>
  <si>
    <t>за апрель  2013 год - март 2014 год</t>
  </si>
  <si>
    <t xml:space="preserve">№ п\п </t>
  </si>
  <si>
    <t>Вид работ</t>
  </si>
  <si>
    <t>срок исполнения</t>
  </si>
  <si>
    <r>
      <t xml:space="preserve">ориентировочная сумма, рублей в </t>
    </r>
    <r>
      <rPr>
        <b/>
        <sz val="8"/>
        <rFont val="Arial Cyr"/>
        <charset val="204"/>
      </rPr>
      <t>год</t>
    </r>
  </si>
  <si>
    <r>
      <t xml:space="preserve">ориентировочная сумма, рублей в </t>
    </r>
    <r>
      <rPr>
        <b/>
        <sz val="8"/>
        <rFont val="Arial Cyr"/>
        <charset val="204"/>
      </rPr>
      <t>месяц</t>
    </r>
  </si>
  <si>
    <t>стоимость работ на 1 кв.м площади в месяц</t>
  </si>
  <si>
    <t>Вид обсл</t>
  </si>
  <si>
    <t>Факт выполнения</t>
  </si>
  <si>
    <t>примечание</t>
  </si>
  <si>
    <t>Санитарно-технические работы</t>
  </si>
  <si>
    <t>Поверка приборов учета СО и ГВС</t>
  </si>
  <si>
    <t>то</t>
  </si>
  <si>
    <t>Ревизия  и  опрессовка  ГВС в подвале</t>
  </si>
  <si>
    <t>вып</t>
  </si>
  <si>
    <t>Ревизия (при необходимости замена) запорной арматуры ХВС  в подвале</t>
  </si>
  <si>
    <t>Запуск отопления (ревизия,опрессовка,испытание)</t>
  </si>
  <si>
    <t>сентябрь-октябрь</t>
  </si>
  <si>
    <t>Смена вентилей ХВС, ГВС в квартирах</t>
  </si>
  <si>
    <t>по мере необходимости</t>
  </si>
  <si>
    <t>материалы:</t>
  </si>
  <si>
    <t xml:space="preserve">сантехнические </t>
  </si>
  <si>
    <t>Электротехнические работы</t>
  </si>
  <si>
    <t>Ревизия электрооборудования 1 раза в год</t>
  </si>
  <si>
    <t>июнь. декабрь</t>
  </si>
  <si>
    <t>Замена лампочек в подъездах. Подвале</t>
  </si>
  <si>
    <t>Замена приборов эл. Энергии по заявлениям</t>
  </si>
  <si>
    <t>лампы</t>
  </si>
  <si>
    <t>Общестроительные работы</t>
  </si>
  <si>
    <t>Ремонт ограждений лоджий третий подъезд</t>
  </si>
  <si>
    <t>апрель-июнь</t>
  </si>
  <si>
    <t>тр</t>
  </si>
  <si>
    <t>Ремонт подъездов 1,2</t>
  </si>
  <si>
    <t>Ремонт кровли местами над кв.17 и над. Кв.88</t>
  </si>
  <si>
    <t>май-сентябрь</t>
  </si>
  <si>
    <t xml:space="preserve">Ремонт  отделки после затопления кв.17 </t>
  </si>
  <si>
    <t>Ремонт  отделки после затопления кв.16</t>
  </si>
  <si>
    <t>Ремонт  отделки после затопления кв.88</t>
  </si>
  <si>
    <t>Ремонт  отделки после затопления кв.90</t>
  </si>
  <si>
    <t>Ремонт  отделки после затопления кв.14</t>
  </si>
  <si>
    <t>Прочистка вент каналов</t>
  </si>
  <si>
    <t>май-июль</t>
  </si>
  <si>
    <t>Проверка вентканалов</t>
  </si>
  <si>
    <t>май-июнь</t>
  </si>
  <si>
    <t>материалы: (покр борд)</t>
  </si>
  <si>
    <t>Покраска труб</t>
  </si>
  <si>
    <t>Благоустройство и санитарная обработка</t>
  </si>
  <si>
    <t>Уборка придомовой территории и экспл. Мус-да</t>
  </si>
  <si>
    <t>Уборка подъездов</t>
  </si>
  <si>
    <t>ежемесячно</t>
  </si>
  <si>
    <t>саженцы, цветы</t>
  </si>
  <si>
    <t>лопаты, веник, моющие, перчатки и пр.</t>
  </si>
  <si>
    <t>Прочие работы</t>
  </si>
  <si>
    <t>Договор с Дерендяевым А.А. на мелкий ремонт (сантехника и общестроительные) (+отчисл)</t>
  </si>
  <si>
    <t>Экспертиза фундамента</t>
  </si>
  <si>
    <t>Весенний осмотр/ дог с Злобин</t>
  </si>
  <si>
    <t>АДС</t>
  </si>
  <si>
    <t>Аварийные (непредвиденные) работы</t>
  </si>
  <si>
    <t>Услуги управления</t>
  </si>
  <si>
    <t>Услуги по % за перечисление ден. Средств (банк. почта)</t>
  </si>
  <si>
    <t>Услуги по изготовлению платёжек</t>
  </si>
  <si>
    <t>Услуги по ведению паспорт. учёта</t>
  </si>
  <si>
    <t>Оплата председателю совета дома</t>
  </si>
  <si>
    <t>Оплата членам  совета дома</t>
  </si>
  <si>
    <t>Возврат по строке "Содержание" за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</si>
</sst>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,##0.00_ ;\-#,##0.00\ "/>
    <numFmt numFmtId="166" formatCode="_(* #,##0_);_(* \(#,##0\);_(* &quot;-&quot;??_);_(@_)"/>
  </numFmts>
  <fonts count="3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6"/>
      <name val="Arial Cyr"/>
      <charset val="204"/>
    </font>
    <font>
      <sz val="6"/>
      <color indexed="63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color indexed="63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sz val="12"/>
      <name val="Arial"/>
      <family val="2"/>
      <charset val="204"/>
    </font>
    <font>
      <sz val="11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name val="Arial Cyr"/>
      <charset val="204"/>
    </font>
    <font>
      <sz val="10"/>
      <name val="Arial CYR"/>
    </font>
    <font>
      <b/>
      <sz val="10"/>
      <name val="Arial CYR"/>
    </font>
    <font>
      <sz val="8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/>
    <xf numFmtId="1" fontId="6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/>
    <xf numFmtId="0" fontId="7" fillId="0" borderId="0" xfId="0" applyFont="1" applyFill="1" applyAlignment="1">
      <alignment horizontal="right"/>
    </xf>
    <xf numFmtId="0" fontId="8" fillId="0" borderId="0" xfId="0" applyFont="1" applyFill="1" applyBorder="1" applyAlignment="1"/>
    <xf numFmtId="0" fontId="0" fillId="2" borderId="0" xfId="0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6" xfId="0" applyFill="1" applyBorder="1"/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14" fillId="2" borderId="6" xfId="0" applyNumberFormat="1" applyFont="1" applyFill="1" applyBorder="1" applyAlignment="1">
      <alignment horizontal="center"/>
    </xf>
    <xf numFmtId="2" fontId="14" fillId="2" borderId="11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2" fontId="0" fillId="2" borderId="5" xfId="0" applyNumberFormat="1" applyFill="1" applyBorder="1"/>
    <xf numFmtId="164" fontId="0" fillId="2" borderId="0" xfId="1" applyFont="1" applyFill="1" applyBorder="1"/>
    <xf numFmtId="0" fontId="0" fillId="3" borderId="10" xfId="0" applyFill="1" applyBorder="1"/>
    <xf numFmtId="2" fontId="16" fillId="2" borderId="6" xfId="0" applyNumberFormat="1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43" fontId="0" fillId="2" borderId="0" xfId="0" applyNumberFormat="1" applyFill="1" applyBorder="1"/>
    <xf numFmtId="2" fontId="18" fillId="2" borderId="6" xfId="1" applyNumberFormat="1" applyFont="1" applyFill="1" applyBorder="1" applyAlignment="1">
      <alignment horizontal="center"/>
    </xf>
    <xf numFmtId="0" fontId="0" fillId="3" borderId="12" xfId="0" applyFill="1" applyBorder="1"/>
    <xf numFmtId="2" fontId="13" fillId="2" borderId="13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0" fontId="1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9" fillId="3" borderId="14" xfId="0" applyFont="1" applyFill="1" applyBorder="1"/>
    <xf numFmtId="0" fontId="7" fillId="3" borderId="15" xfId="0" applyFont="1" applyFill="1" applyBorder="1" applyAlignment="1">
      <alignment horizontal="center"/>
    </xf>
    <xf numFmtId="2" fontId="2" fillId="3" borderId="15" xfId="1" applyNumberFormat="1" applyFont="1" applyFill="1" applyBorder="1" applyAlignment="1">
      <alignment horizontal="center"/>
    </xf>
    <xf numFmtId="10" fontId="2" fillId="3" borderId="15" xfId="1" applyNumberFormat="1" applyFont="1" applyFill="1" applyBorder="1" applyAlignment="1">
      <alignment horizontal="center"/>
    </xf>
    <xf numFmtId="2" fontId="2" fillId="3" borderId="16" xfId="1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left"/>
    </xf>
    <xf numFmtId="165" fontId="1" fillId="3" borderId="0" xfId="1" applyNumberFormat="1" applyFont="1" applyFill="1"/>
    <xf numFmtId="2" fontId="0" fillId="3" borderId="0" xfId="0" applyNumberFormat="1" applyFill="1"/>
    <xf numFmtId="0" fontId="0" fillId="3" borderId="0" xfId="0" applyFill="1"/>
    <xf numFmtId="0" fontId="20" fillId="3" borderId="17" xfId="0" applyFont="1" applyFill="1" applyBorder="1" applyAlignment="1">
      <alignment horizontal="left"/>
    </xf>
    <xf numFmtId="0" fontId="20" fillId="3" borderId="18" xfId="0" applyFont="1" applyFill="1" applyBorder="1"/>
    <xf numFmtId="2" fontId="6" fillId="3" borderId="18" xfId="1" applyNumberFormat="1" applyFont="1" applyFill="1" applyBorder="1" applyAlignment="1"/>
    <xf numFmtId="2" fontId="0" fillId="0" borderId="0" xfId="0" applyNumberFormat="1"/>
    <xf numFmtId="0" fontId="20" fillId="3" borderId="17" xfId="0" applyFont="1" applyFill="1" applyBorder="1"/>
    <xf numFmtId="0" fontId="0" fillId="3" borderId="18" xfId="0" applyFill="1" applyBorder="1"/>
    <xf numFmtId="166" fontId="20" fillId="2" borderId="19" xfId="1" applyNumberFormat="1" applyFont="1" applyFill="1" applyBorder="1" applyAlignment="1">
      <alignment horizontal="center"/>
    </xf>
    <xf numFmtId="166" fontId="0" fillId="3" borderId="6" xfId="0" applyNumberFormat="1" applyFill="1" applyBorder="1"/>
    <xf numFmtId="0" fontId="22" fillId="3" borderId="0" xfId="0" applyFont="1" applyFill="1"/>
    <xf numFmtId="0" fontId="22" fillId="3" borderId="0" xfId="0" applyFont="1" applyFill="1" applyAlignment="1"/>
    <xf numFmtId="0" fontId="23" fillId="3" borderId="0" xfId="0" applyFont="1" applyFill="1"/>
    <xf numFmtId="0" fontId="0" fillId="3" borderId="0" xfId="0" applyFill="1" applyAlignment="1">
      <alignment horizontal="right"/>
    </xf>
    <xf numFmtId="2" fontId="0" fillId="2" borderId="0" xfId="0" applyNumberFormat="1" applyFill="1"/>
    <xf numFmtId="0" fontId="10" fillId="0" borderId="0" xfId="2"/>
    <xf numFmtId="0" fontId="10" fillId="0" borderId="0" xfId="2" applyAlignment="1">
      <alignment horizontal="center"/>
    </xf>
    <xf numFmtId="44" fontId="22" fillId="0" borderId="0" xfId="3" applyFont="1" applyAlignment="1">
      <alignment horizontal="center"/>
    </xf>
    <xf numFmtId="44" fontId="22" fillId="0" borderId="0" xfId="3" applyFont="1" applyBorder="1" applyAlignment="1">
      <alignment horizontal="center"/>
    </xf>
    <xf numFmtId="44" fontId="22" fillId="0" borderId="0" xfId="3" applyFont="1" applyBorder="1" applyAlignment="1"/>
    <xf numFmtId="0" fontId="10" fillId="0" borderId="1" xfId="2" applyBorder="1" applyAlignment="1">
      <alignment vertical="distributed"/>
    </xf>
    <xf numFmtId="0" fontId="10" fillId="0" borderId="20" xfId="2" applyFont="1" applyBorder="1" applyAlignment="1">
      <alignment horizontal="center"/>
    </xf>
    <xf numFmtId="0" fontId="10" fillId="0" borderId="20" xfId="2" applyFont="1" applyBorder="1"/>
    <xf numFmtId="0" fontId="19" fillId="0" borderId="20" xfId="2" applyFont="1" applyBorder="1" applyAlignment="1">
      <alignment wrapText="1"/>
    </xf>
    <xf numFmtId="0" fontId="19" fillId="0" borderId="21" xfId="2" applyFont="1" applyBorder="1" applyAlignment="1">
      <alignment wrapText="1"/>
    </xf>
    <xf numFmtId="0" fontId="19" fillId="0" borderId="3" xfId="2" applyFont="1" applyBorder="1" applyAlignment="1">
      <alignment wrapText="1"/>
    </xf>
    <xf numFmtId="0" fontId="10" fillId="0" borderId="22" xfId="2" applyBorder="1"/>
    <xf numFmtId="0" fontId="10" fillId="0" borderId="23" xfId="2" applyBorder="1" applyAlignment="1">
      <alignment vertical="distributed"/>
    </xf>
    <xf numFmtId="0" fontId="3" fillId="0" borderId="13" xfId="2" applyFont="1" applyBorder="1" applyAlignment="1">
      <alignment horizontal="center"/>
    </xf>
    <xf numFmtId="0" fontId="10" fillId="0" borderId="13" xfId="2" applyFont="1" applyBorder="1"/>
    <xf numFmtId="0" fontId="10" fillId="0" borderId="13" xfId="2" applyBorder="1" applyAlignment="1">
      <alignment wrapText="1"/>
    </xf>
    <xf numFmtId="0" fontId="10" fillId="0" borderId="24" xfId="2" applyBorder="1" applyAlignment="1">
      <alignment wrapText="1"/>
    </xf>
    <xf numFmtId="0" fontId="10" fillId="0" borderId="24" xfId="2" applyFont="1" applyBorder="1" applyAlignment="1">
      <alignment wrapText="1"/>
    </xf>
    <xf numFmtId="0" fontId="10" fillId="0" borderId="6" xfId="2" applyFont="1" applyBorder="1" applyAlignment="1">
      <alignment wrapText="1"/>
    </xf>
    <xf numFmtId="0" fontId="10" fillId="0" borderId="25" xfId="2" applyBorder="1"/>
    <xf numFmtId="0" fontId="10" fillId="0" borderId="23" xfId="2" applyBorder="1"/>
    <xf numFmtId="0" fontId="27" fillId="0" borderId="6" xfId="0" applyFont="1" applyBorder="1" applyAlignment="1">
      <alignment wrapText="1"/>
    </xf>
    <xf numFmtId="0" fontId="27" fillId="0" borderId="6" xfId="0" applyFont="1" applyBorder="1" applyAlignment="1">
      <alignment horizontal="center" wrapText="1"/>
    </xf>
    <xf numFmtId="1" fontId="27" fillId="0" borderId="6" xfId="0" applyNumberFormat="1" applyFont="1" applyBorder="1" applyAlignment="1">
      <alignment horizontal="center" wrapText="1"/>
    </xf>
    <xf numFmtId="2" fontId="27" fillId="0" borderId="18" xfId="0" applyNumberFormat="1" applyFont="1" applyBorder="1" applyAlignment="1">
      <alignment horizontal="center" wrapText="1"/>
    </xf>
    <xf numFmtId="2" fontId="27" fillId="0" borderId="6" xfId="0" applyNumberFormat="1" applyFont="1" applyBorder="1" applyAlignment="1">
      <alignment horizontal="center" wrapText="1"/>
    </xf>
    <xf numFmtId="2" fontId="27" fillId="4" borderId="6" xfId="0" applyNumberFormat="1" applyFont="1" applyFill="1" applyBorder="1" applyAlignment="1">
      <alignment horizontal="center" wrapText="1"/>
    </xf>
    <xf numFmtId="3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vertical="top" wrapText="1"/>
    </xf>
    <xf numFmtId="0" fontId="10" fillId="0" borderId="6" xfId="2" applyFont="1" applyBorder="1" applyAlignment="1">
      <alignment vertical="center" wrapText="1"/>
    </xf>
    <xf numFmtId="3" fontId="27" fillId="0" borderId="6" xfId="0" applyNumberFormat="1" applyFont="1" applyBorder="1" applyAlignment="1">
      <alignment horizontal="center" vertical="center"/>
    </xf>
    <xf numFmtId="2" fontId="27" fillId="0" borderId="18" xfId="0" applyNumberFormat="1" applyFont="1" applyBorder="1" applyAlignment="1">
      <alignment horizontal="center" vertical="center" wrapText="1"/>
    </xf>
    <xf numFmtId="2" fontId="27" fillId="0" borderId="6" xfId="0" applyNumberFormat="1" applyFont="1" applyBorder="1" applyAlignment="1">
      <alignment horizontal="center" vertical="center" wrapText="1"/>
    </xf>
    <xf numFmtId="2" fontId="27" fillId="4" borderId="6" xfId="0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wrapText="1"/>
    </xf>
    <xf numFmtId="0" fontId="27" fillId="0" borderId="6" xfId="0" applyFont="1" applyBorder="1" applyAlignment="1">
      <alignment vertical="center" wrapText="1"/>
    </xf>
    <xf numFmtId="3" fontId="27" fillId="0" borderId="6" xfId="0" applyNumberFormat="1" applyFont="1" applyBorder="1" applyAlignment="1">
      <alignment horizontal="center" wrapText="1"/>
    </xf>
    <xf numFmtId="3" fontId="27" fillId="2" borderId="6" xfId="0" applyNumberFormat="1" applyFont="1" applyFill="1" applyBorder="1" applyAlignment="1">
      <alignment horizontal="center" wrapText="1"/>
    </xf>
    <xf numFmtId="0" fontId="10" fillId="0" borderId="0" xfId="2" applyBorder="1"/>
    <xf numFmtId="0" fontId="27" fillId="0" borderId="6" xfId="0" applyFont="1" applyBorder="1"/>
    <xf numFmtId="0" fontId="10" fillId="0" borderId="17" xfId="2" applyFont="1" applyBorder="1" applyAlignment="1">
      <alignment wrapText="1"/>
    </xf>
    <xf numFmtId="0" fontId="10" fillId="0" borderId="6" xfId="2" applyBorder="1"/>
    <xf numFmtId="0" fontId="10" fillId="0" borderId="17" xfId="2" applyBorder="1"/>
    <xf numFmtId="0" fontId="10" fillId="0" borderId="0" xfId="2" applyFont="1" applyBorder="1" applyAlignment="1">
      <alignment wrapText="1"/>
    </xf>
    <xf numFmtId="0" fontId="27" fillId="0" borderId="6" xfId="0" applyFont="1" applyBorder="1" applyAlignment="1">
      <alignment horizontal="center"/>
    </xf>
    <xf numFmtId="0" fontId="10" fillId="0" borderId="6" xfId="2" applyBorder="1" applyAlignment="1">
      <alignment horizontal="center"/>
    </xf>
    <xf numFmtId="1" fontId="27" fillId="0" borderId="6" xfId="0" applyNumberFormat="1" applyFont="1" applyBorder="1" applyAlignment="1">
      <alignment horizontal="center"/>
    </xf>
    <xf numFmtId="0" fontId="10" fillId="0" borderId="23" xfId="2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10" fillId="0" borderId="25" xfId="2" applyBorder="1" applyAlignment="1">
      <alignment vertical="center"/>
    </xf>
    <xf numFmtId="0" fontId="10" fillId="0" borderId="0" xfId="2" applyAlignment="1">
      <alignment vertical="center"/>
    </xf>
    <xf numFmtId="0" fontId="27" fillId="0" borderId="6" xfId="0" applyFont="1" applyBorder="1" applyAlignment="1">
      <alignment vertical="distributed" wrapText="1"/>
    </xf>
    <xf numFmtId="0" fontId="10" fillId="0" borderId="25" xfId="2" applyFill="1" applyBorder="1"/>
    <xf numFmtId="0" fontId="10" fillId="0" borderId="0" xfId="2" applyFill="1"/>
    <xf numFmtId="0" fontId="27" fillId="0" borderId="6" xfId="0" applyFont="1" applyFill="1" applyBorder="1" applyAlignment="1">
      <alignment horizontal="center"/>
    </xf>
    <xf numFmtId="0" fontId="10" fillId="0" borderId="14" xfId="2" applyBorder="1"/>
    <xf numFmtId="0" fontId="3" fillId="0" borderId="15" xfId="2" applyFont="1" applyBorder="1"/>
    <xf numFmtId="1" fontId="3" fillId="0" borderId="15" xfId="2" applyNumberFormat="1" applyFont="1" applyBorder="1"/>
    <xf numFmtId="2" fontId="3" fillId="0" borderId="15" xfId="0" applyNumberFormat="1" applyFont="1" applyBorder="1" applyAlignment="1">
      <alignment horizontal="center" wrapText="1"/>
    </xf>
    <xf numFmtId="2" fontId="10" fillId="0" borderId="26" xfId="2" applyNumberFormat="1" applyBorder="1"/>
    <xf numFmtId="2" fontId="10" fillId="0" borderId="0" xfId="2" applyNumberFormat="1" applyBorder="1"/>
    <xf numFmtId="2" fontId="27" fillId="0" borderId="0" xfId="0" applyNumberFormat="1" applyFont="1" applyBorder="1" applyAlignment="1">
      <alignment horizontal="center" wrapText="1"/>
    </xf>
    <xf numFmtId="2" fontId="29" fillId="0" borderId="0" xfId="0" applyNumberFormat="1" applyFont="1" applyBorder="1" applyAlignment="1">
      <alignment horizontal="center" wrapText="1"/>
    </xf>
    <xf numFmtId="0" fontId="10" fillId="0" borderId="0" xfId="2" applyFont="1"/>
    <xf numFmtId="1" fontId="10" fillId="0" borderId="0" xfId="2" applyNumberFormat="1"/>
    <xf numFmtId="2" fontId="10" fillId="5" borderId="6" xfId="2" applyNumberFormat="1" applyFill="1" applyBorder="1"/>
    <xf numFmtId="3" fontId="27" fillId="5" borderId="6" xfId="0" applyNumberFormat="1" applyFont="1" applyFill="1" applyBorder="1" applyAlignment="1">
      <alignment horizontal="center" wrapText="1"/>
    </xf>
    <xf numFmtId="0" fontId="27" fillId="5" borderId="6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2" fontId="21" fillId="3" borderId="18" xfId="1" applyNumberFormat="1" applyFont="1" applyFill="1" applyBorder="1" applyAlignment="1">
      <alignment horizontal="center"/>
    </xf>
    <xf numFmtId="2" fontId="21" fillId="3" borderId="19" xfId="1" applyNumberFormat="1" applyFont="1" applyFill="1" applyBorder="1" applyAlignment="1">
      <alignment horizontal="center"/>
    </xf>
    <xf numFmtId="0" fontId="22" fillId="3" borderId="17" xfId="0" applyFont="1" applyFill="1" applyBorder="1" applyAlignment="1"/>
    <xf numFmtId="0" fontId="22" fillId="3" borderId="18" xfId="0" applyFont="1" applyFill="1" applyBorder="1" applyAlignment="1"/>
    <xf numFmtId="0" fontId="22" fillId="3" borderId="19" xfId="0" applyFont="1" applyFill="1" applyBorder="1" applyAlignment="1"/>
    <xf numFmtId="0" fontId="22" fillId="3" borderId="0" xfId="0" applyFont="1" applyFill="1" applyAlignment="1">
      <alignment horizontal="left"/>
    </xf>
  </cellXfs>
  <cellStyles count="4">
    <cellStyle name="Денежный_план 2011 мол" xfId="3"/>
    <cellStyle name="Обычный" xfId="0" builtinId="0"/>
    <cellStyle name="Обычный_план 2011 мол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9;&#1050;%20&#1055;&#1045;&#1056;&#1057;&#1055;&#1045;&#1050;&#1058;&#1048;&#1042;&#1040;/&#1044;&#1054;&#1052;&#1040;/&#1059;&#1050;/&#1086;&#1079;&#1105;&#1088;&#1085;&#1072;&#1103;/&#1054;&#1058;&#1063;&#1045;&#1058;%20&#1054;&#1047;&#1045;&#1056;&#1053;&#1040;&#1071;%201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2;%20&#1089;/Documents%20and%20Settings/1/&#1052;&#1086;&#1080;%20&#1076;&#1086;&#1082;&#1091;&#1084;&#1077;&#1085;&#1090;&#1099;/&#1076;&#1086;&#1084;&#1072;/&#1087;&#1088;&#1086;&#1084;&#1077;&#1078;%20&#1091;&#1082;/&#1087;&#1088;&#1086;&#1084;&#1077;&#1078;&#1091;&#1090;&#1086;&#1095;&#1085;&#1099;-13%20(&#1040;&#1074;&#1090;&#1086;&#1089;&#1086;&#1093;&#1088;&#1072;&#1085;&#1077;&#1085;&#1085;&#1099;&#1081;)%20(&#1040;&#1074;&#1090;&#1086;&#1089;&#1086;&#1093;&#1088;&#1072;&#1085;&#1077;&#1085;&#1085;&#1099;&#108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2;%20&#1089;/Documents%20and%20Settings/1/&#1052;&#1086;&#1080;%20&#1076;&#1086;&#1082;&#1091;&#1084;&#1077;&#1085;&#1090;&#1099;/&#1076;&#1086;&#1084;&#1072;/&#1087;&#1088;&#1086;&#1084;&#1077;&#1078;%20&#1091;&#1082;/&#1087;&#1088;&#1086;&#1084;&#1077;&#1078;&#1091;&#1090;&#1086;&#1095;&#1085;&#1099;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0;&#1089;&#1082;%20&#1089;/Documents%20and%20Settings/1/&#1052;&#1086;&#1080;%20&#1076;&#1086;&#1082;&#1091;&#1084;&#1077;&#1085;&#1090;&#1099;/&#1090;&#1077;&#1083;&#1077;&#1092;&#1086;&#1085;&#1085;&#1099;&#1081;%20&#1089;&#1087;&#1088;&#1072;&#1074;&#1086;&#1095;&#1085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2012"/>
      <sheetName val="отчет2013"/>
    </sheetNames>
    <sheetDataSet>
      <sheetData sheetId="0">
        <row r="24">
          <cell r="H24">
            <v>504270.60000000009</v>
          </cell>
        </row>
        <row r="27">
          <cell r="H27">
            <v>-101600.00999999978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 refreshError="1">
        <row r="3">
          <cell r="E3">
            <v>10297.74</v>
          </cell>
          <cell r="U3">
            <v>19888.240000000002</v>
          </cell>
        </row>
        <row r="5">
          <cell r="E5">
            <v>147479.74</v>
          </cell>
          <cell r="U5">
            <v>672191.77</v>
          </cell>
        </row>
        <row r="6">
          <cell r="E6">
            <v>126906.00999999998</v>
          </cell>
          <cell r="U6">
            <v>476182.83999999997</v>
          </cell>
        </row>
        <row r="9">
          <cell r="E9">
            <v>71742.36</v>
          </cell>
          <cell r="U9">
            <v>257648.85</v>
          </cell>
        </row>
        <row r="10">
          <cell r="E10">
            <v>40582.060000000005</v>
          </cell>
          <cell r="U10">
            <v>151525.42000000001</v>
          </cell>
        </row>
        <row r="11">
          <cell r="E11">
            <v>7875</v>
          </cell>
          <cell r="U11">
            <v>31458</v>
          </cell>
        </row>
        <row r="12">
          <cell r="E12">
            <v>21130.260000000002</v>
          </cell>
          <cell r="U12">
            <v>83959.88</v>
          </cell>
        </row>
        <row r="13">
          <cell r="E13">
            <v>380639.46</v>
          </cell>
          <cell r="U13">
            <v>1444741.34</v>
          </cell>
        </row>
        <row r="14">
          <cell r="E14">
            <v>1111.5</v>
          </cell>
          <cell r="U14">
            <v>4426.5</v>
          </cell>
        </row>
        <row r="15">
          <cell r="E15">
            <v>957.96</v>
          </cell>
          <cell r="U15">
            <v>4816.6900000000005</v>
          </cell>
        </row>
      </sheetData>
      <sheetData sheetId="1" refreshError="1">
        <row r="2">
          <cell r="E2">
            <v>10556.23</v>
          </cell>
          <cell r="U2">
            <v>25772.38</v>
          </cell>
        </row>
        <row r="4">
          <cell r="E4">
            <v>156982.56</v>
          </cell>
          <cell r="U4">
            <v>677137.93</v>
          </cell>
        </row>
        <row r="5">
          <cell r="E5">
            <v>121742.09</v>
          </cell>
          <cell r="U5">
            <v>476282.31</v>
          </cell>
        </row>
        <row r="7">
          <cell r="E7">
            <v>11003.89</v>
          </cell>
          <cell r="U7">
            <v>14202.069999999998</v>
          </cell>
        </row>
        <row r="8">
          <cell r="E8">
            <v>68930.240000000005</v>
          </cell>
          <cell r="U8">
            <v>255127.09000000003</v>
          </cell>
        </row>
        <row r="9">
          <cell r="E9">
            <v>38975.49</v>
          </cell>
          <cell r="U9">
            <v>147399.28</v>
          </cell>
        </row>
        <row r="10">
          <cell r="E10">
            <v>9570.6699999999983</v>
          </cell>
          <cell r="U10">
            <v>33039.839999999997</v>
          </cell>
        </row>
        <row r="12">
          <cell r="E12">
            <v>20349.490000000002</v>
          </cell>
          <cell r="U12">
            <v>82160.22</v>
          </cell>
        </row>
        <row r="13">
          <cell r="E13">
            <v>388758.47</v>
          </cell>
          <cell r="U13">
            <v>1400935.61</v>
          </cell>
        </row>
        <row r="14">
          <cell r="E14">
            <v>1136.4099999999999</v>
          </cell>
          <cell r="U14">
            <v>4349.07</v>
          </cell>
        </row>
        <row r="15">
          <cell r="E15">
            <v>220.93</v>
          </cell>
          <cell r="U15">
            <v>1864.2500000000002</v>
          </cell>
        </row>
        <row r="17">
          <cell r="E17">
            <v>-2117.71</v>
          </cell>
          <cell r="U17">
            <v>704.5600000000004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 refreshError="1">
        <row r="3">
          <cell r="B3">
            <v>51507.55</v>
          </cell>
          <cell r="C3">
            <v>57167.71</v>
          </cell>
        </row>
        <row r="4">
          <cell r="B4">
            <v>44645.35</v>
          </cell>
          <cell r="C4">
            <v>35506.53</v>
          </cell>
        </row>
        <row r="5">
          <cell r="B5">
            <v>23250.75</v>
          </cell>
          <cell r="C5">
            <v>20405.53</v>
          </cell>
        </row>
        <row r="6">
          <cell r="B6">
            <v>15258.98</v>
          </cell>
          <cell r="C6">
            <v>12357.08</v>
          </cell>
        </row>
        <row r="7">
          <cell r="B7">
            <v>2604</v>
          </cell>
          <cell r="C7">
            <v>2604</v>
          </cell>
        </row>
        <row r="8">
          <cell r="B8">
            <v>7096.45</v>
          </cell>
          <cell r="C8">
            <v>9635.24</v>
          </cell>
        </row>
        <row r="9">
          <cell r="B9">
            <v>142108.07999999999</v>
          </cell>
          <cell r="C9">
            <v>142105.57999999999</v>
          </cell>
        </row>
        <row r="10">
          <cell r="B10">
            <v>351</v>
          </cell>
          <cell r="C10">
            <v>351</v>
          </cell>
        </row>
        <row r="11">
          <cell r="B11">
            <v>306.99</v>
          </cell>
          <cell r="C11">
            <v>1892.96</v>
          </cell>
          <cell r="D11">
            <v>2470.1799999999998</v>
          </cell>
        </row>
      </sheetData>
      <sheetData sheetId="1" refreshError="1">
        <row r="2">
          <cell r="B2">
            <v>291.14</v>
          </cell>
          <cell r="C2">
            <v>215.71999999999997</v>
          </cell>
        </row>
        <row r="3">
          <cell r="B3">
            <v>57697.52</v>
          </cell>
          <cell r="C3">
            <v>55316.820000000007</v>
          </cell>
        </row>
        <row r="4">
          <cell r="B4">
            <v>26423.279999999999</v>
          </cell>
          <cell r="C4">
            <v>27780.34</v>
          </cell>
        </row>
        <row r="5">
          <cell r="B5">
            <v>216.27</v>
          </cell>
          <cell r="C5">
            <v>92.05</v>
          </cell>
        </row>
        <row r="6">
          <cell r="B6">
            <v>21029.49</v>
          </cell>
          <cell r="C6">
            <v>21302.92</v>
          </cell>
        </row>
        <row r="7">
          <cell r="B7">
            <v>12132.73</v>
          </cell>
          <cell r="C7">
            <v>13660.589999999998</v>
          </cell>
        </row>
        <row r="8">
          <cell r="B8">
            <v>2769.88</v>
          </cell>
          <cell r="C8">
            <v>2836.62</v>
          </cell>
        </row>
        <row r="9">
          <cell r="B9">
            <v>7174.68</v>
          </cell>
          <cell r="C9">
            <v>6983.6699999999992</v>
          </cell>
        </row>
        <row r="10">
          <cell r="B10">
            <v>137013.5</v>
          </cell>
          <cell r="C10">
            <v>133902.60999999999</v>
          </cell>
        </row>
        <row r="11">
          <cell r="E11">
            <v>1082.74</v>
          </cell>
        </row>
        <row r="12">
          <cell r="B12">
            <v>34.94</v>
          </cell>
          <cell r="C12">
            <v>78.77</v>
          </cell>
        </row>
        <row r="14">
          <cell r="C14">
            <v>-1657.82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р.16-3"/>
      <sheetName val="2006"/>
      <sheetName val="2007"/>
      <sheetName val="2008"/>
      <sheetName val="2009"/>
      <sheetName val="2009 (2)"/>
      <sheetName val="2010"/>
      <sheetName val="2011"/>
      <sheetName val="2012"/>
      <sheetName val="2012УК"/>
      <sheetName val="2013"/>
      <sheetName val="2013электр"/>
      <sheetName val="2014"/>
      <sheetName val="Лист2"/>
      <sheetName val="Лист3"/>
      <sheetName val="укс"/>
      <sheetName val="укс (2)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0">
          <cell r="B40">
            <v>16769.14</v>
          </cell>
          <cell r="C40">
            <v>10254.18</v>
          </cell>
          <cell r="D40">
            <v>13557.54</v>
          </cell>
          <cell r="N40">
            <v>153628.93700000003</v>
          </cell>
        </row>
        <row r="41">
          <cell r="B41">
            <v>16769.14</v>
          </cell>
          <cell r="C41">
            <v>10254.18</v>
          </cell>
          <cell r="D41">
            <v>13557.54</v>
          </cell>
          <cell r="N41">
            <v>153628.93700000003</v>
          </cell>
        </row>
        <row r="44">
          <cell r="B44">
            <v>26564.912</v>
          </cell>
          <cell r="C44">
            <v>21227.135999999999</v>
          </cell>
          <cell r="D44">
            <v>23949.664000000001</v>
          </cell>
          <cell r="N44">
            <v>275929.56900000008</v>
          </cell>
        </row>
        <row r="48">
          <cell r="B48">
            <v>39265.690856000001</v>
          </cell>
          <cell r="C48">
            <v>45419.9312842</v>
          </cell>
          <cell r="D48">
            <v>42370.315082399997</v>
          </cell>
          <cell r="N48">
            <v>499743.69045380002</v>
          </cell>
        </row>
        <row r="49">
          <cell r="B49">
            <v>39265.690856000001</v>
          </cell>
          <cell r="C49">
            <v>45419.9312842</v>
          </cell>
          <cell r="D49">
            <v>42370.315082399997</v>
          </cell>
          <cell r="N49">
            <v>499743.69045380002</v>
          </cell>
        </row>
        <row r="52">
          <cell r="B52">
            <v>294397.2</v>
          </cell>
          <cell r="C52">
            <v>215123.17</v>
          </cell>
          <cell r="D52">
            <v>198835.65012999999</v>
          </cell>
          <cell r="N52">
            <v>1379869.02566</v>
          </cell>
        </row>
        <row r="53">
          <cell r="B53">
            <v>294397.2</v>
          </cell>
          <cell r="C53">
            <v>215123.17</v>
          </cell>
          <cell r="D53">
            <v>198835.65012999999</v>
          </cell>
          <cell r="N53">
            <v>1379869.02566</v>
          </cell>
        </row>
      </sheetData>
      <sheetData sheetId="12"/>
      <sheetData sheetId="13">
        <row r="40">
          <cell r="B40">
            <v>16261.77</v>
          </cell>
          <cell r="C40">
            <v>12356.890000000001</v>
          </cell>
          <cell r="D40">
            <v>14052.43</v>
          </cell>
        </row>
        <row r="41">
          <cell r="B41">
            <v>16261.77</v>
          </cell>
          <cell r="C41">
            <v>12356.890000000001</v>
          </cell>
          <cell r="D41">
            <v>14052.43</v>
          </cell>
        </row>
        <row r="44">
          <cell r="B44">
            <v>27282.518000000004</v>
          </cell>
          <cell r="C44">
            <v>21098.445</v>
          </cell>
          <cell r="D44">
            <v>22953.4</v>
          </cell>
        </row>
        <row r="48">
          <cell r="B48">
            <v>44646.862100000006</v>
          </cell>
          <cell r="C48">
            <v>35497.011899999998</v>
          </cell>
          <cell r="D48">
            <v>32579.515640000001</v>
          </cell>
        </row>
        <row r="49">
          <cell r="B49">
            <v>44646.862100000006</v>
          </cell>
          <cell r="C49">
            <v>35497.011899999998</v>
          </cell>
          <cell r="D49">
            <v>32579.515640000001</v>
          </cell>
        </row>
        <row r="52">
          <cell r="B52">
            <v>280270.3248</v>
          </cell>
          <cell r="C52">
            <v>278744.30119999999</v>
          </cell>
          <cell r="D52">
            <v>160069.18591999999</v>
          </cell>
        </row>
        <row r="53">
          <cell r="B53">
            <v>280270.3248</v>
          </cell>
          <cell r="C53">
            <v>278744.30119999999</v>
          </cell>
          <cell r="D53">
            <v>160069.18591999999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tabSelected="1" view="pageLayout" topLeftCell="A24" zoomScaleNormal="100" workbookViewId="0">
      <selection activeCell="D50" sqref="D50"/>
    </sheetView>
  </sheetViews>
  <sheetFormatPr defaultRowHeight="12.75" x14ac:dyDescent="0.2"/>
  <cols>
    <col min="1" max="1" width="4.5703125" style="67" customWidth="1"/>
    <col min="2" max="2" width="50.28515625" style="67" customWidth="1"/>
    <col min="3" max="3" width="16.28515625" style="67" hidden="1" customWidth="1"/>
    <col min="4" max="4" width="10.85546875" style="67" customWidth="1"/>
    <col min="5" max="6" width="7.42578125" style="67" hidden="1" customWidth="1"/>
    <col min="7" max="7" width="6.140625" style="67" hidden="1" customWidth="1"/>
    <col min="8" max="9" width="12.5703125" style="67" customWidth="1"/>
    <col min="10" max="10" width="10.7109375" style="67" customWidth="1"/>
    <col min="11" max="11" width="12.42578125" style="67" customWidth="1"/>
    <col min="12" max="16384" width="9.140625" style="67"/>
  </cols>
  <sheetData>
    <row r="1" spans="1:10" ht="15" x14ac:dyDescent="0.2">
      <c r="B1" s="68"/>
      <c r="C1" s="68"/>
      <c r="D1" s="69" t="s">
        <v>41</v>
      </c>
      <c r="E1" s="69"/>
      <c r="F1" s="68"/>
      <c r="G1" s="68"/>
      <c r="H1" s="68"/>
      <c r="I1" s="68"/>
    </row>
    <row r="2" spans="1:10" ht="15.75" thickBot="1" x14ac:dyDescent="0.25">
      <c r="D2" s="70" t="s">
        <v>42</v>
      </c>
      <c r="E2" s="71"/>
    </row>
    <row r="3" spans="1:10" ht="39.75" customHeight="1" x14ac:dyDescent="0.2">
      <c r="A3" s="72" t="s">
        <v>43</v>
      </c>
      <c r="B3" s="73" t="s">
        <v>44</v>
      </c>
      <c r="C3" s="74" t="s">
        <v>45</v>
      </c>
      <c r="D3" s="75" t="s">
        <v>46</v>
      </c>
      <c r="E3" s="75" t="s">
        <v>47</v>
      </c>
      <c r="F3" s="76" t="s">
        <v>48</v>
      </c>
      <c r="G3" s="77" t="s">
        <v>49</v>
      </c>
      <c r="H3" s="77" t="s">
        <v>50</v>
      </c>
      <c r="I3" s="77" t="s">
        <v>39</v>
      </c>
      <c r="J3" s="78" t="s">
        <v>51</v>
      </c>
    </row>
    <row r="4" spans="1:10" x14ac:dyDescent="0.2">
      <c r="A4" s="79"/>
      <c r="B4" s="80" t="s">
        <v>52</v>
      </c>
      <c r="C4" s="81"/>
      <c r="D4" s="82"/>
      <c r="E4" s="83"/>
      <c r="F4" s="84"/>
      <c r="G4" s="85"/>
      <c r="H4" s="85"/>
      <c r="I4" s="85"/>
      <c r="J4" s="86"/>
    </row>
    <row r="5" spans="1:10" x14ac:dyDescent="0.2">
      <c r="A5" s="87">
        <v>1</v>
      </c>
      <c r="B5" s="88" t="s">
        <v>53</v>
      </c>
      <c r="C5" s="85" t="s">
        <v>40</v>
      </c>
      <c r="D5" s="89">
        <v>5000</v>
      </c>
      <c r="E5" s="90">
        <f>D5/12</f>
        <v>416.66666666666669</v>
      </c>
      <c r="F5" s="91">
        <f t="shared" ref="F5:F9" si="0">D5/12/5968.42</f>
        <v>6.9811887679933168E-2</v>
      </c>
      <c r="G5" s="92" t="s">
        <v>54</v>
      </c>
      <c r="H5" s="93">
        <v>20231.150000000001</v>
      </c>
      <c r="I5" s="92">
        <f>H5-D5</f>
        <v>15231.150000000001</v>
      </c>
      <c r="J5" s="86"/>
    </row>
    <row r="6" spans="1:10" x14ac:dyDescent="0.2">
      <c r="A6" s="87">
        <v>2</v>
      </c>
      <c r="B6" s="88" t="s">
        <v>55</v>
      </c>
      <c r="C6" s="85" t="s">
        <v>40</v>
      </c>
      <c r="D6" s="94">
        <f>2600*1.2</f>
        <v>3120</v>
      </c>
      <c r="E6" s="90">
        <f t="shared" ref="E6:E48" si="1">D6/12</f>
        <v>260</v>
      </c>
      <c r="F6" s="91">
        <f t="shared" si="0"/>
        <v>4.3562617912278292E-2</v>
      </c>
      <c r="G6" s="92" t="s">
        <v>54</v>
      </c>
      <c r="H6" s="92">
        <v>0</v>
      </c>
      <c r="I6" s="92">
        <f t="shared" ref="I6:I48" si="2">H6-D6</f>
        <v>-3120</v>
      </c>
      <c r="J6" s="86" t="s">
        <v>56</v>
      </c>
    </row>
    <row r="7" spans="1:10" ht="25.5" x14ac:dyDescent="0.2">
      <c r="A7" s="87">
        <v>3</v>
      </c>
      <c r="B7" s="88" t="s">
        <v>57</v>
      </c>
      <c r="C7" s="85"/>
      <c r="D7" s="94">
        <v>0</v>
      </c>
      <c r="E7" s="90">
        <f t="shared" si="1"/>
        <v>0</v>
      </c>
      <c r="F7" s="91">
        <f t="shared" si="0"/>
        <v>0</v>
      </c>
      <c r="G7" s="92" t="s">
        <v>54</v>
      </c>
      <c r="H7" s="92">
        <v>0</v>
      </c>
      <c r="I7" s="92">
        <f t="shared" si="2"/>
        <v>0</v>
      </c>
      <c r="J7" s="86" t="s">
        <v>56</v>
      </c>
    </row>
    <row r="8" spans="1:10" x14ac:dyDescent="0.2">
      <c r="A8" s="87">
        <v>4</v>
      </c>
      <c r="B8" s="88" t="s">
        <v>58</v>
      </c>
      <c r="C8" s="85" t="s">
        <v>59</v>
      </c>
      <c r="D8" s="94">
        <v>0</v>
      </c>
      <c r="E8" s="90">
        <f t="shared" si="1"/>
        <v>0</v>
      </c>
      <c r="F8" s="91">
        <f t="shared" si="0"/>
        <v>0</v>
      </c>
      <c r="G8" s="92" t="s">
        <v>54</v>
      </c>
      <c r="H8" s="93">
        <v>350</v>
      </c>
      <c r="I8" s="92">
        <f t="shared" si="2"/>
        <v>350</v>
      </c>
      <c r="J8" s="86" t="s">
        <v>56</v>
      </c>
    </row>
    <row r="9" spans="1:10" ht="14.25" customHeight="1" x14ac:dyDescent="0.2">
      <c r="A9" s="87">
        <v>5</v>
      </c>
      <c r="B9" s="88" t="s">
        <v>60</v>
      </c>
      <c r="C9" s="85" t="s">
        <v>61</v>
      </c>
      <c r="D9" s="94">
        <v>2000</v>
      </c>
      <c r="E9" s="90">
        <f t="shared" si="1"/>
        <v>166.66666666666666</v>
      </c>
      <c r="F9" s="91">
        <f t="shared" si="0"/>
        <v>2.7924755071973263E-2</v>
      </c>
      <c r="G9" s="92" t="s">
        <v>54</v>
      </c>
      <c r="H9" s="92">
        <v>0</v>
      </c>
      <c r="I9" s="92">
        <f t="shared" si="2"/>
        <v>-2000</v>
      </c>
      <c r="J9" s="86" t="s">
        <v>56</v>
      </c>
    </row>
    <row r="10" spans="1:10" x14ac:dyDescent="0.2">
      <c r="A10" s="87">
        <v>7</v>
      </c>
      <c r="B10" s="88" t="s">
        <v>62</v>
      </c>
      <c r="C10" s="85"/>
      <c r="D10" s="94"/>
      <c r="E10" s="90"/>
      <c r="F10" s="91"/>
      <c r="G10" s="92"/>
      <c r="H10" s="92"/>
      <c r="I10" s="92">
        <f t="shared" si="2"/>
        <v>0</v>
      </c>
      <c r="J10" s="86"/>
    </row>
    <row r="11" spans="1:10" x14ac:dyDescent="0.2">
      <c r="A11" s="87"/>
      <c r="B11" s="95" t="s">
        <v>63</v>
      </c>
      <c r="C11" s="96"/>
      <c r="D11" s="97">
        <f>5000+450*6</f>
        <v>7700</v>
      </c>
      <c r="E11" s="90">
        <f t="shared" si="1"/>
        <v>641.66666666666663</v>
      </c>
      <c r="F11" s="98">
        <f>D11/12/5968.42</f>
        <v>0.10751030702709706</v>
      </c>
      <c r="G11" s="99"/>
      <c r="H11" s="100">
        <v>8330.1</v>
      </c>
      <c r="I11" s="92">
        <f t="shared" si="2"/>
        <v>630.10000000000036</v>
      </c>
      <c r="J11" s="86"/>
    </row>
    <row r="12" spans="1:10" x14ac:dyDescent="0.2">
      <c r="A12" s="87"/>
      <c r="B12" s="101" t="s">
        <v>64</v>
      </c>
      <c r="C12" s="85"/>
      <c r="D12" s="134">
        <f>SUM(D5:D11)</f>
        <v>17820</v>
      </c>
      <c r="E12" s="134">
        <f t="shared" ref="E12:H12" si="3">SUM(E5:E11)</f>
        <v>1485</v>
      </c>
      <c r="F12" s="134">
        <f t="shared" si="3"/>
        <v>0.24880956769128176</v>
      </c>
      <c r="G12" s="134">
        <f t="shared" si="3"/>
        <v>0</v>
      </c>
      <c r="H12" s="134">
        <f t="shared" si="3"/>
        <v>28911.25</v>
      </c>
      <c r="I12" s="92">
        <f t="shared" si="2"/>
        <v>11091.25</v>
      </c>
      <c r="J12" s="86"/>
    </row>
    <row r="13" spans="1:10" x14ac:dyDescent="0.2">
      <c r="A13" s="87">
        <v>8</v>
      </c>
      <c r="B13" s="88" t="s">
        <v>65</v>
      </c>
      <c r="C13" s="85" t="s">
        <v>66</v>
      </c>
      <c r="D13" s="94">
        <v>5000</v>
      </c>
      <c r="E13" s="90">
        <f t="shared" si="1"/>
        <v>416.66666666666669</v>
      </c>
      <c r="F13" s="91">
        <f>D13/12/5968.42</f>
        <v>6.9811887679933168E-2</v>
      </c>
      <c r="G13" s="92" t="s">
        <v>54</v>
      </c>
      <c r="H13" s="93">
        <f>6297+278.96</f>
        <v>6575.96</v>
      </c>
      <c r="I13" s="92">
        <f t="shared" si="2"/>
        <v>1575.96</v>
      </c>
      <c r="J13" s="86"/>
    </row>
    <row r="14" spans="1:10" ht="14.25" customHeight="1" x14ac:dyDescent="0.2">
      <c r="A14" s="87">
        <v>9</v>
      </c>
      <c r="B14" s="88" t="s">
        <v>67</v>
      </c>
      <c r="C14" s="85" t="s">
        <v>61</v>
      </c>
      <c r="D14" s="94">
        <v>0</v>
      </c>
      <c r="E14" s="90">
        <f t="shared" si="1"/>
        <v>0</v>
      </c>
      <c r="F14" s="91">
        <f>D14/12/5968.42</f>
        <v>0</v>
      </c>
      <c r="G14" s="92" t="s">
        <v>54</v>
      </c>
      <c r="H14" s="93">
        <v>186</v>
      </c>
      <c r="I14" s="92">
        <f t="shared" si="2"/>
        <v>186</v>
      </c>
      <c r="J14" s="86" t="s">
        <v>56</v>
      </c>
    </row>
    <row r="15" spans="1:10" ht="14.25" customHeight="1" x14ac:dyDescent="0.2">
      <c r="A15" s="87"/>
      <c r="B15" s="88" t="s">
        <v>68</v>
      </c>
      <c r="C15" s="85"/>
      <c r="D15" s="94"/>
      <c r="E15" s="90"/>
      <c r="F15" s="91"/>
      <c r="G15" s="92"/>
      <c r="H15" s="93">
        <f>20790+29175</f>
        <v>49965</v>
      </c>
      <c r="I15" s="92"/>
      <c r="J15" s="86" t="s">
        <v>56</v>
      </c>
    </row>
    <row r="16" spans="1:10" x14ac:dyDescent="0.2">
      <c r="A16" s="87">
        <v>10</v>
      </c>
      <c r="B16" s="102" t="s">
        <v>62</v>
      </c>
      <c r="C16" s="85"/>
      <c r="D16" s="94"/>
      <c r="E16" s="90"/>
      <c r="F16" s="91"/>
      <c r="G16" s="92"/>
      <c r="H16" s="92"/>
      <c r="I16" s="92">
        <f t="shared" si="2"/>
        <v>0</v>
      </c>
      <c r="J16" s="86"/>
    </row>
    <row r="17" spans="1:10" x14ac:dyDescent="0.2">
      <c r="A17" s="87">
        <v>11</v>
      </c>
      <c r="B17" s="95" t="s">
        <v>69</v>
      </c>
      <c r="C17" s="96"/>
      <c r="D17" s="97">
        <f>100*12</f>
        <v>1200</v>
      </c>
      <c r="E17" s="90">
        <f t="shared" si="1"/>
        <v>100</v>
      </c>
      <c r="F17" s="98">
        <f>D17/12/5968.42</f>
        <v>1.6754853043183957E-2</v>
      </c>
      <c r="G17" s="99"/>
      <c r="H17" s="100">
        <v>921</v>
      </c>
      <c r="I17" s="92">
        <f t="shared" si="2"/>
        <v>-279</v>
      </c>
      <c r="J17" s="86"/>
    </row>
    <row r="18" spans="1:10" x14ac:dyDescent="0.2">
      <c r="A18" s="87"/>
      <c r="B18" s="101" t="s">
        <v>70</v>
      </c>
      <c r="C18" s="85"/>
      <c r="D18" s="133">
        <f>SUM(D13:D17)</f>
        <v>6200</v>
      </c>
      <c r="E18" s="133">
        <f t="shared" ref="E18:H18" si="4">SUM(E13:E17)</f>
        <v>516.66666666666674</v>
      </c>
      <c r="F18" s="133">
        <f t="shared" si="4"/>
        <v>8.6566740723117125E-2</v>
      </c>
      <c r="G18" s="133">
        <f t="shared" si="4"/>
        <v>0</v>
      </c>
      <c r="H18" s="133">
        <f t="shared" si="4"/>
        <v>57647.96</v>
      </c>
      <c r="I18" s="92">
        <f t="shared" si="2"/>
        <v>51447.96</v>
      </c>
      <c r="J18" s="86"/>
    </row>
    <row r="19" spans="1:10" x14ac:dyDescent="0.2">
      <c r="A19" s="87">
        <v>12</v>
      </c>
      <c r="B19" s="88" t="s">
        <v>71</v>
      </c>
      <c r="C19" s="85" t="s">
        <v>72</v>
      </c>
      <c r="D19" s="104">
        <v>22500</v>
      </c>
      <c r="E19" s="90">
        <f t="shared" ref="E19:E20" si="5">D19/12</f>
        <v>1875</v>
      </c>
      <c r="F19" s="91">
        <f t="shared" ref="F19:F20" si="6">D19/12/5968.42</f>
        <v>0.31415349455969921</v>
      </c>
      <c r="G19" s="92" t="s">
        <v>73</v>
      </c>
      <c r="H19" s="92">
        <v>0</v>
      </c>
      <c r="I19" s="92">
        <f t="shared" si="2"/>
        <v>-22500</v>
      </c>
      <c r="J19" s="86"/>
    </row>
    <row r="20" spans="1:10" x14ac:dyDescent="0.2">
      <c r="A20" s="87">
        <v>13</v>
      </c>
      <c r="B20" s="88" t="s">
        <v>74</v>
      </c>
      <c r="C20" s="85" t="s">
        <v>72</v>
      </c>
      <c r="D20" s="105"/>
      <c r="E20" s="90">
        <f t="shared" si="5"/>
        <v>0</v>
      </c>
      <c r="F20" s="91">
        <f t="shared" si="6"/>
        <v>0</v>
      </c>
      <c r="G20" s="92" t="s">
        <v>73</v>
      </c>
      <c r="H20" s="92"/>
      <c r="I20" s="92">
        <f t="shared" si="2"/>
        <v>0</v>
      </c>
      <c r="J20" s="86"/>
    </row>
    <row r="21" spans="1:10" x14ac:dyDescent="0.2">
      <c r="A21" s="87">
        <v>14</v>
      </c>
      <c r="B21" s="88" t="s">
        <v>75</v>
      </c>
      <c r="C21" s="85" t="s">
        <v>76</v>
      </c>
      <c r="D21" s="89">
        <v>15000</v>
      </c>
      <c r="E21" s="90">
        <f t="shared" si="1"/>
        <v>1250</v>
      </c>
      <c r="F21" s="91">
        <f>D21/12/5968.42</f>
        <v>0.20943566303979946</v>
      </c>
      <c r="G21" s="92" t="s">
        <v>73</v>
      </c>
      <c r="H21" s="93">
        <v>16780</v>
      </c>
      <c r="I21" s="92">
        <f t="shared" si="2"/>
        <v>1780</v>
      </c>
      <c r="J21" s="86"/>
    </row>
    <row r="22" spans="1:10" x14ac:dyDescent="0.2">
      <c r="A22" s="87">
        <v>15</v>
      </c>
      <c r="B22" s="88" t="s">
        <v>77</v>
      </c>
      <c r="C22" s="85" t="s">
        <v>76</v>
      </c>
      <c r="D22" s="89">
        <v>2000</v>
      </c>
      <c r="E22" s="90">
        <f t="shared" si="1"/>
        <v>166.66666666666666</v>
      </c>
      <c r="F22" s="91">
        <f t="shared" ref="F22:F26" si="7">D22/12/5968.42</f>
        <v>2.7924755071973263E-2</v>
      </c>
      <c r="G22" s="92" t="s">
        <v>73</v>
      </c>
      <c r="H22" s="93">
        <f>3500+320+107+200+420</f>
        <v>4547</v>
      </c>
      <c r="I22" s="92">
        <f t="shared" si="2"/>
        <v>2547</v>
      </c>
      <c r="J22" s="86"/>
    </row>
    <row r="23" spans="1:10" x14ac:dyDescent="0.2">
      <c r="A23" s="87">
        <v>16</v>
      </c>
      <c r="B23" s="88" t="s">
        <v>78</v>
      </c>
      <c r="C23" s="85" t="s">
        <v>76</v>
      </c>
      <c r="D23" s="89">
        <v>4000</v>
      </c>
      <c r="E23" s="90">
        <f t="shared" si="1"/>
        <v>333.33333333333331</v>
      </c>
      <c r="F23" s="91">
        <f t="shared" si="7"/>
        <v>5.5849510143946526E-2</v>
      </c>
      <c r="G23" s="92" t="s">
        <v>73</v>
      </c>
      <c r="H23" s="93">
        <f>37+270+48.45+1890+977.55+267.9+345+120+55</f>
        <v>4010.9</v>
      </c>
      <c r="I23" s="92">
        <f t="shared" si="2"/>
        <v>10.900000000000091</v>
      </c>
      <c r="J23" s="86"/>
    </row>
    <row r="24" spans="1:10" x14ac:dyDescent="0.2">
      <c r="A24" s="87">
        <v>17</v>
      </c>
      <c r="B24" s="88" t="s">
        <v>79</v>
      </c>
      <c r="C24" s="85" t="s">
        <v>76</v>
      </c>
      <c r="D24" s="89">
        <v>5000</v>
      </c>
      <c r="E24" s="90">
        <f t="shared" si="1"/>
        <v>416.66666666666669</v>
      </c>
      <c r="F24" s="91">
        <f t="shared" si="7"/>
        <v>6.9811887679933168E-2</v>
      </c>
      <c r="G24" s="92" t="s">
        <v>73</v>
      </c>
      <c r="H24" s="92">
        <v>0</v>
      </c>
      <c r="I24" s="92">
        <f t="shared" si="2"/>
        <v>-5000</v>
      </c>
      <c r="J24" s="86"/>
    </row>
    <row r="25" spans="1:10" x14ac:dyDescent="0.2">
      <c r="A25" s="87">
        <v>18</v>
      </c>
      <c r="B25" s="88" t="s">
        <v>80</v>
      </c>
      <c r="C25" s="85"/>
      <c r="D25" s="89">
        <v>2000</v>
      </c>
      <c r="E25" s="90">
        <f t="shared" si="1"/>
        <v>166.66666666666666</v>
      </c>
      <c r="F25" s="91">
        <f t="shared" si="7"/>
        <v>2.7924755071973263E-2</v>
      </c>
      <c r="G25" s="92" t="s">
        <v>73</v>
      </c>
      <c r="H25" s="92">
        <v>0</v>
      </c>
      <c r="I25" s="92">
        <f t="shared" si="2"/>
        <v>-2000</v>
      </c>
      <c r="J25" s="86"/>
    </row>
    <row r="26" spans="1:10" x14ac:dyDescent="0.2">
      <c r="A26" s="87">
        <v>19</v>
      </c>
      <c r="B26" s="88" t="s">
        <v>81</v>
      </c>
      <c r="C26" s="85"/>
      <c r="D26" s="89">
        <v>200</v>
      </c>
      <c r="E26" s="90">
        <f t="shared" si="1"/>
        <v>16.666666666666668</v>
      </c>
      <c r="F26" s="91">
        <f t="shared" si="7"/>
        <v>2.7924755071973267E-3</v>
      </c>
      <c r="G26" s="92" t="s">
        <v>73</v>
      </c>
      <c r="H26" s="92">
        <v>0</v>
      </c>
      <c r="I26" s="92">
        <f t="shared" si="2"/>
        <v>-200</v>
      </c>
      <c r="J26" s="86"/>
    </row>
    <row r="27" spans="1:10" x14ac:dyDescent="0.2">
      <c r="A27" s="87">
        <v>20</v>
      </c>
      <c r="B27" s="106" t="s">
        <v>82</v>
      </c>
      <c r="C27" s="85" t="s">
        <v>83</v>
      </c>
      <c r="D27" s="103">
        <v>40000</v>
      </c>
      <c r="E27" s="90">
        <f t="shared" si="1"/>
        <v>3333.3333333333335</v>
      </c>
      <c r="F27" s="91">
        <f>D27/12/5968.42</f>
        <v>0.55849510143946535</v>
      </c>
      <c r="G27" s="92" t="s">
        <v>73</v>
      </c>
      <c r="H27" s="93">
        <f>22414+4482.8</f>
        <v>26896.799999999999</v>
      </c>
      <c r="I27" s="92">
        <f t="shared" si="2"/>
        <v>-13103.2</v>
      </c>
      <c r="J27" s="86"/>
    </row>
    <row r="28" spans="1:10" x14ac:dyDescent="0.2">
      <c r="A28" s="87">
        <v>21</v>
      </c>
      <c r="B28" s="88" t="s">
        <v>84</v>
      </c>
      <c r="C28" s="85" t="s">
        <v>85</v>
      </c>
      <c r="D28" s="89">
        <f>20*125*0.9</f>
        <v>2250</v>
      </c>
      <c r="E28" s="90">
        <f t="shared" si="1"/>
        <v>187.5</v>
      </c>
      <c r="F28" s="91">
        <f t="shared" ref="F28:F29" si="8">D28/12/5968.42</f>
        <v>3.1415349455969924E-2</v>
      </c>
      <c r="G28" s="92" t="s">
        <v>54</v>
      </c>
      <c r="H28" s="93">
        <v>3401</v>
      </c>
      <c r="I28" s="92">
        <f t="shared" si="2"/>
        <v>1151</v>
      </c>
      <c r="J28" s="86"/>
    </row>
    <row r="29" spans="1:10" x14ac:dyDescent="0.2">
      <c r="A29" s="87">
        <v>22</v>
      </c>
      <c r="B29" s="88" t="s">
        <v>86</v>
      </c>
      <c r="C29" s="85"/>
      <c r="D29" s="89">
        <f>2500+500</f>
        <v>3000</v>
      </c>
      <c r="E29" s="90">
        <f t="shared" si="1"/>
        <v>250</v>
      </c>
      <c r="F29" s="91">
        <f t="shared" si="8"/>
        <v>4.1887132607959898E-2</v>
      </c>
      <c r="G29" s="92" t="s">
        <v>54</v>
      </c>
      <c r="H29" s="92"/>
      <c r="I29" s="92">
        <f t="shared" si="2"/>
        <v>-3000</v>
      </c>
      <c r="J29" s="86"/>
    </row>
    <row r="30" spans="1:10" x14ac:dyDescent="0.2">
      <c r="A30" s="87"/>
      <c r="B30" s="88" t="s">
        <v>87</v>
      </c>
      <c r="C30" s="85"/>
      <c r="D30" s="89">
        <v>0</v>
      </c>
      <c r="E30" s="90"/>
      <c r="F30" s="91"/>
      <c r="G30" s="92"/>
      <c r="H30" s="93">
        <f>19310.4+7638.08</f>
        <v>26948.480000000003</v>
      </c>
      <c r="I30" s="92">
        <f t="shared" si="2"/>
        <v>26948.480000000003</v>
      </c>
      <c r="J30" s="86"/>
    </row>
    <row r="31" spans="1:10" x14ac:dyDescent="0.2">
      <c r="A31" s="87"/>
      <c r="B31" s="101" t="s">
        <v>88</v>
      </c>
      <c r="C31" s="85"/>
      <c r="D31" s="133">
        <f>SUM(D21:D30)</f>
        <v>73450</v>
      </c>
      <c r="E31" s="133">
        <f t="shared" ref="E31:H31" si="9">SUM(E21:E30)</f>
        <v>6120.833333333333</v>
      </c>
      <c r="F31" s="133">
        <f t="shared" si="9"/>
        <v>1.0255366300182183</v>
      </c>
      <c r="G31" s="133">
        <f t="shared" si="9"/>
        <v>0</v>
      </c>
      <c r="H31" s="133">
        <f t="shared" si="9"/>
        <v>82584.179999999993</v>
      </c>
      <c r="I31" s="92">
        <f t="shared" si="2"/>
        <v>9134.179999999993</v>
      </c>
      <c r="J31" s="86"/>
    </row>
    <row r="32" spans="1:10" ht="12" customHeight="1" x14ac:dyDescent="0.2">
      <c r="A32" s="87">
        <v>23</v>
      </c>
      <c r="B32" s="106" t="s">
        <v>89</v>
      </c>
      <c r="C32" s="85"/>
      <c r="D32" s="89">
        <f>7075*12</f>
        <v>84900</v>
      </c>
      <c r="E32" s="90">
        <f t="shared" si="1"/>
        <v>7075</v>
      </c>
      <c r="F32" s="91">
        <f>D32/12/5968.42</f>
        <v>1.1854058528052651</v>
      </c>
      <c r="G32" s="92" t="s">
        <v>54</v>
      </c>
      <c r="H32" s="93">
        <f>108276</f>
        <v>108276</v>
      </c>
      <c r="I32" s="92">
        <f t="shared" si="2"/>
        <v>23376</v>
      </c>
      <c r="J32" s="86"/>
    </row>
    <row r="33" spans="1:13" ht="12" customHeight="1" x14ac:dyDescent="0.2">
      <c r="A33" s="87">
        <v>24</v>
      </c>
      <c r="B33" s="88" t="s">
        <v>90</v>
      </c>
      <c r="C33" s="85" t="s">
        <v>91</v>
      </c>
      <c r="D33" s="89">
        <f>7075*12</f>
        <v>84900</v>
      </c>
      <c r="E33" s="90">
        <f t="shared" si="1"/>
        <v>7075</v>
      </c>
      <c r="F33" s="91">
        <f>D33/12/5968.42</f>
        <v>1.1854058528052651</v>
      </c>
      <c r="G33" s="92" t="s">
        <v>54</v>
      </c>
      <c r="H33" s="93">
        <f>79310.4+6896.4</f>
        <v>86206.799999999988</v>
      </c>
      <c r="I33" s="92">
        <f t="shared" si="2"/>
        <v>1306.7999999999884</v>
      </c>
      <c r="J33" s="86"/>
    </row>
    <row r="34" spans="1:13" ht="12" customHeight="1" x14ac:dyDescent="0.2">
      <c r="A34" s="87">
        <v>25</v>
      </c>
      <c r="B34" s="102" t="s">
        <v>62</v>
      </c>
      <c r="C34" s="107" t="s">
        <v>91</v>
      </c>
      <c r="D34" s="108"/>
      <c r="E34" s="90">
        <f t="shared" si="1"/>
        <v>0</v>
      </c>
      <c r="F34" s="109"/>
      <c r="G34" s="108"/>
      <c r="H34" s="108"/>
      <c r="I34" s="92">
        <f t="shared" si="2"/>
        <v>0</v>
      </c>
      <c r="J34" s="86"/>
    </row>
    <row r="35" spans="1:13" ht="12" customHeight="1" x14ac:dyDescent="0.2">
      <c r="A35" s="87"/>
      <c r="B35" s="95" t="s">
        <v>92</v>
      </c>
      <c r="C35" s="110"/>
      <c r="D35" s="97">
        <v>1000</v>
      </c>
      <c r="E35" s="90">
        <f t="shared" si="1"/>
        <v>83.333333333333329</v>
      </c>
      <c r="F35" s="98">
        <f>D35/12/5968.42</f>
        <v>1.3962377535986632E-2</v>
      </c>
      <c r="G35" s="99" t="s">
        <v>54</v>
      </c>
      <c r="H35" s="99">
        <v>0</v>
      </c>
      <c r="I35" s="92">
        <f t="shared" si="2"/>
        <v>-1000</v>
      </c>
      <c r="J35" s="86"/>
    </row>
    <row r="36" spans="1:13" ht="12" customHeight="1" x14ac:dyDescent="0.2">
      <c r="A36" s="87">
        <v>26</v>
      </c>
      <c r="B36" s="95" t="s">
        <v>93</v>
      </c>
      <c r="C36" s="96"/>
      <c r="D36" s="97">
        <v>1500</v>
      </c>
      <c r="E36" s="90">
        <f t="shared" si="1"/>
        <v>125</v>
      </c>
      <c r="F36" s="98">
        <f>D36/12/5968.42</f>
        <v>2.0943566303979949E-2</v>
      </c>
      <c r="G36" s="99" t="s">
        <v>54</v>
      </c>
      <c r="H36" s="100">
        <f>1102.23+1274.3</f>
        <v>2376.5299999999997</v>
      </c>
      <c r="I36" s="92">
        <f t="shared" si="2"/>
        <v>876.52999999999975</v>
      </c>
      <c r="J36" s="86"/>
    </row>
    <row r="37" spans="1:13" ht="12" customHeight="1" x14ac:dyDescent="0.2">
      <c r="A37" s="87">
        <v>27</v>
      </c>
      <c r="B37" s="101" t="s">
        <v>94</v>
      </c>
      <c r="C37" s="96"/>
      <c r="D37" s="132">
        <f t="shared" ref="D37:G37" si="10">SUM(D32:D36)</f>
        <v>172300</v>
      </c>
      <c r="E37" s="132">
        <f t="shared" si="10"/>
        <v>14358.333333333334</v>
      </c>
      <c r="F37" s="132">
        <f t="shared" si="10"/>
        <v>2.405717649450497</v>
      </c>
      <c r="G37" s="132">
        <f t="shared" si="10"/>
        <v>0</v>
      </c>
      <c r="H37" s="132">
        <f>SUM(H32:H36)</f>
        <v>196859.33</v>
      </c>
      <c r="I37" s="92">
        <f t="shared" si="2"/>
        <v>24559.329999999987</v>
      </c>
      <c r="J37" s="86"/>
    </row>
    <row r="38" spans="1:13" ht="24.75" customHeight="1" x14ac:dyDescent="0.2">
      <c r="A38" s="87">
        <v>28</v>
      </c>
      <c r="B38" s="88" t="s">
        <v>95</v>
      </c>
      <c r="C38" s="85"/>
      <c r="D38" s="111">
        <f>12*1.2*4200</f>
        <v>60479.999999999993</v>
      </c>
      <c r="E38" s="90">
        <f t="shared" si="1"/>
        <v>5039.9999999999991</v>
      </c>
      <c r="F38" s="91">
        <f t="shared" ref="F38:F45" si="11">D38/12/5968.42</f>
        <v>0.84444459337647138</v>
      </c>
      <c r="G38" s="92" t="s">
        <v>54</v>
      </c>
      <c r="H38" s="93">
        <v>76003.199999999997</v>
      </c>
      <c r="I38" s="92">
        <f t="shared" si="2"/>
        <v>15523.200000000004</v>
      </c>
      <c r="J38" s="86"/>
    </row>
    <row r="39" spans="1:13" ht="12" customHeight="1" x14ac:dyDescent="0.2">
      <c r="A39" s="87">
        <v>29</v>
      </c>
      <c r="B39" s="88" t="s">
        <v>96</v>
      </c>
      <c r="C39" s="85"/>
      <c r="D39" s="111">
        <v>40000</v>
      </c>
      <c r="E39" s="90">
        <f t="shared" si="1"/>
        <v>3333.3333333333335</v>
      </c>
      <c r="F39" s="91">
        <f t="shared" si="11"/>
        <v>0.55849510143946535</v>
      </c>
      <c r="G39" s="92" t="s">
        <v>73</v>
      </c>
      <c r="H39" s="92">
        <v>0</v>
      </c>
      <c r="I39" s="92">
        <f t="shared" si="2"/>
        <v>-40000</v>
      </c>
      <c r="J39" s="86"/>
    </row>
    <row r="40" spans="1:13" ht="14.25" customHeight="1" x14ac:dyDescent="0.2">
      <c r="A40" s="87">
        <v>30</v>
      </c>
      <c r="B40" s="88" t="s">
        <v>97</v>
      </c>
      <c r="C40" s="85" t="s">
        <v>91</v>
      </c>
      <c r="D40" s="112">
        <v>1000</v>
      </c>
      <c r="E40" s="90">
        <f t="shared" si="1"/>
        <v>83.333333333333329</v>
      </c>
      <c r="F40" s="91">
        <f t="shared" si="11"/>
        <v>1.3962377535986632E-2</v>
      </c>
      <c r="G40" s="92" t="s">
        <v>54</v>
      </c>
      <c r="H40" s="92"/>
      <c r="I40" s="92">
        <f t="shared" si="2"/>
        <v>-1000</v>
      </c>
      <c r="J40" s="86"/>
    </row>
    <row r="41" spans="1:13" ht="12.95" customHeight="1" x14ac:dyDescent="0.2">
      <c r="A41" s="87">
        <v>31</v>
      </c>
      <c r="B41" s="88" t="s">
        <v>98</v>
      </c>
      <c r="C41" s="85" t="s">
        <v>91</v>
      </c>
      <c r="D41" s="113">
        <f>0.81*12*5968.42</f>
        <v>58013.042400000006</v>
      </c>
      <c r="E41" s="90">
        <f t="shared" si="1"/>
        <v>4834.4202000000005</v>
      </c>
      <c r="F41" s="91">
        <f t="shared" si="11"/>
        <v>0.81</v>
      </c>
      <c r="G41" s="92" t="s">
        <v>54</v>
      </c>
      <c r="H41" s="93">
        <v>60022.39</v>
      </c>
      <c r="I41" s="92">
        <f t="shared" si="2"/>
        <v>2009.3475999999937</v>
      </c>
      <c r="J41" s="86"/>
    </row>
    <row r="42" spans="1:13" s="117" customFormat="1" ht="12.95" customHeight="1" x14ac:dyDescent="0.2">
      <c r="A42" s="114">
        <v>32</v>
      </c>
      <c r="B42" s="102" t="s">
        <v>99</v>
      </c>
      <c r="C42" s="96" t="s">
        <v>61</v>
      </c>
      <c r="D42" s="115">
        <v>40000</v>
      </c>
      <c r="E42" s="90">
        <f t="shared" si="1"/>
        <v>3333.3333333333335</v>
      </c>
      <c r="F42" s="98">
        <f t="shared" si="11"/>
        <v>0.55849510143946535</v>
      </c>
      <c r="G42" s="99" t="s">
        <v>54</v>
      </c>
      <c r="H42" s="100">
        <f>4560+12800+16099.76+1429+40434.03+314.26+2905.3+727+170.08+7240+276+383+852+512.12+7035+2420+5238+1321+26672+470+4132.8+5931.59+150+7794.84+6000+994+1638+70+39002.44</f>
        <v>197572.21999999997</v>
      </c>
      <c r="I42" s="92">
        <f t="shared" si="2"/>
        <v>157572.21999999997</v>
      </c>
      <c r="J42" s="116"/>
    </row>
    <row r="43" spans="1:13" ht="12.95" customHeight="1" x14ac:dyDescent="0.2">
      <c r="A43" s="87">
        <v>33</v>
      </c>
      <c r="B43" s="118" t="s">
        <v>100</v>
      </c>
      <c r="C43" s="85" t="s">
        <v>91</v>
      </c>
      <c r="D43" s="113">
        <f>1.57*5968.42*12</f>
        <v>112445.03280000002</v>
      </c>
      <c r="E43" s="90">
        <f t="shared" si="1"/>
        <v>9370.4194000000007</v>
      </c>
      <c r="F43" s="91">
        <f t="shared" si="11"/>
        <v>1.57</v>
      </c>
      <c r="G43" s="92" t="s">
        <v>54</v>
      </c>
      <c r="H43" s="93">
        <v>113877.46</v>
      </c>
      <c r="I43" s="92">
        <f t="shared" si="2"/>
        <v>1432.427199999991</v>
      </c>
      <c r="J43" s="119"/>
      <c r="K43" s="120"/>
      <c r="L43" s="120"/>
      <c r="M43" s="120"/>
    </row>
    <row r="44" spans="1:13" ht="12.95" customHeight="1" x14ac:dyDescent="0.2">
      <c r="A44" s="87">
        <v>34</v>
      </c>
      <c r="B44" s="118" t="s">
        <v>101</v>
      </c>
      <c r="C44" s="85" t="s">
        <v>61</v>
      </c>
      <c r="D44" s="121">
        <f>20000</f>
        <v>20000</v>
      </c>
      <c r="E44" s="90">
        <f t="shared" si="1"/>
        <v>1666.6666666666667</v>
      </c>
      <c r="F44" s="91">
        <f t="shared" si="11"/>
        <v>0.27924755071973267</v>
      </c>
      <c r="G44" s="92" t="s">
        <v>54</v>
      </c>
      <c r="H44" s="93">
        <v>31075.32</v>
      </c>
      <c r="I44" s="92">
        <f t="shared" si="2"/>
        <v>11075.32</v>
      </c>
      <c r="J44" s="119"/>
      <c r="K44" s="120"/>
      <c r="L44" s="120"/>
      <c r="M44" s="120"/>
    </row>
    <row r="45" spans="1:13" ht="12.95" customHeight="1" x14ac:dyDescent="0.2">
      <c r="A45" s="87">
        <v>35</v>
      </c>
      <c r="B45" s="118" t="s">
        <v>102</v>
      </c>
      <c r="C45" s="85" t="s">
        <v>61</v>
      </c>
      <c r="D45" s="121">
        <f>(11.05+9)*12*130</f>
        <v>31278.000000000004</v>
      </c>
      <c r="E45" s="90">
        <f t="shared" si="1"/>
        <v>2606.5000000000005</v>
      </c>
      <c r="F45" s="91">
        <f t="shared" si="11"/>
        <v>0.43671524457058997</v>
      </c>
      <c r="G45" s="92" t="s">
        <v>54</v>
      </c>
      <c r="H45" s="93">
        <f>10449+16892.55</f>
        <v>27341.55</v>
      </c>
      <c r="I45" s="92">
        <f t="shared" si="2"/>
        <v>-3936.4500000000044</v>
      </c>
      <c r="J45" s="119"/>
      <c r="K45" s="120"/>
      <c r="L45" s="120"/>
      <c r="M45" s="120"/>
    </row>
    <row r="46" spans="1:13" ht="12.95" customHeight="1" x14ac:dyDescent="0.2">
      <c r="A46" s="87">
        <v>36</v>
      </c>
      <c r="B46" s="118" t="s">
        <v>103</v>
      </c>
      <c r="C46" s="85" t="s">
        <v>61</v>
      </c>
      <c r="D46" s="121">
        <f>850*12</f>
        <v>10200</v>
      </c>
      <c r="E46" s="90">
        <f t="shared" si="1"/>
        <v>850</v>
      </c>
      <c r="F46" s="91">
        <f>D46/12/5968.42</f>
        <v>0.14241625086706364</v>
      </c>
      <c r="G46" s="92" t="s">
        <v>54</v>
      </c>
      <c r="H46" s="93">
        <v>10996.2</v>
      </c>
      <c r="I46" s="92">
        <f t="shared" si="2"/>
        <v>796.20000000000073</v>
      </c>
      <c r="J46" s="119"/>
      <c r="K46" s="120"/>
      <c r="L46" s="120"/>
      <c r="M46" s="120"/>
    </row>
    <row r="47" spans="1:13" ht="12.95" customHeight="1" x14ac:dyDescent="0.2">
      <c r="A47" s="87">
        <v>37</v>
      </c>
      <c r="B47" s="118" t="s">
        <v>104</v>
      </c>
      <c r="C47" s="85" t="s">
        <v>61</v>
      </c>
      <c r="D47" s="121">
        <f>3000*12</f>
        <v>36000</v>
      </c>
      <c r="E47" s="90">
        <f t="shared" si="1"/>
        <v>3000</v>
      </c>
      <c r="F47" s="91">
        <f>D47/12/5968.42</f>
        <v>0.50264559129551878</v>
      </c>
      <c r="G47" s="92" t="s">
        <v>54</v>
      </c>
      <c r="H47" s="93">
        <v>36800</v>
      </c>
      <c r="I47" s="92">
        <f t="shared" si="2"/>
        <v>800</v>
      </c>
      <c r="J47" s="119"/>
      <c r="K47" s="120"/>
      <c r="L47" s="120"/>
      <c r="M47" s="120"/>
    </row>
    <row r="48" spans="1:13" ht="12.95" customHeight="1" x14ac:dyDescent="0.2">
      <c r="A48" s="87">
        <v>38</v>
      </c>
      <c r="B48" s="118" t="s">
        <v>105</v>
      </c>
      <c r="C48" s="85" t="s">
        <v>61</v>
      </c>
      <c r="D48" s="121">
        <f>1500*12</f>
        <v>18000</v>
      </c>
      <c r="E48" s="90">
        <f t="shared" si="1"/>
        <v>1500</v>
      </c>
      <c r="F48" s="91">
        <f>D48/12/5968.42</f>
        <v>0.25132279564775939</v>
      </c>
      <c r="G48" s="92" t="s">
        <v>54</v>
      </c>
      <c r="H48" s="93">
        <v>6900</v>
      </c>
      <c r="I48" s="92">
        <f t="shared" si="2"/>
        <v>-11100</v>
      </c>
      <c r="J48" s="119"/>
      <c r="K48" s="120"/>
      <c r="L48" s="120"/>
      <c r="M48" s="120"/>
    </row>
    <row r="49" spans="1:13" ht="12.95" customHeight="1" x14ac:dyDescent="0.2">
      <c r="A49" s="87">
        <v>39</v>
      </c>
      <c r="B49" s="118" t="s">
        <v>106</v>
      </c>
      <c r="C49" s="85"/>
      <c r="D49" s="121">
        <f>-101600</f>
        <v>-101600</v>
      </c>
      <c r="E49" s="90"/>
      <c r="F49" s="91"/>
      <c r="G49" s="92"/>
      <c r="H49" s="92"/>
      <c r="I49" s="92"/>
      <c r="J49" s="119"/>
      <c r="K49" s="120"/>
      <c r="L49" s="120"/>
      <c r="M49" s="120"/>
    </row>
    <row r="50" spans="1:13" ht="13.5" thickBot="1" x14ac:dyDescent="0.25">
      <c r="A50" s="122">
        <v>40</v>
      </c>
      <c r="B50" s="123" t="s">
        <v>28</v>
      </c>
      <c r="C50" s="123"/>
      <c r="D50" s="124">
        <f t="shared" ref="D50:G50" si="12">SUM(D5:D49)-D37-D31-D18-D12</f>
        <v>618086.07520000008</v>
      </c>
      <c r="E50" s="124">
        <f t="shared" si="12"/>
        <v>59973.839600000021</v>
      </c>
      <c r="F50" s="124">
        <f t="shared" si="12"/>
        <v>10.048528689334864</v>
      </c>
      <c r="G50" s="124">
        <f t="shared" si="12"/>
        <v>0</v>
      </c>
      <c r="H50" s="124">
        <f>SUM(H5:H49)-H37-H31-H18-H12</f>
        <v>926591.06</v>
      </c>
      <c r="I50" s="125">
        <f>H50-D50</f>
        <v>308504.98479999998</v>
      </c>
      <c r="J50" s="126"/>
    </row>
    <row r="51" spans="1:13" x14ac:dyDescent="0.2">
      <c r="D51" s="127">
        <f>D50/12/5968.42</f>
        <v>8.6299511316786255</v>
      </c>
      <c r="E51" s="127">
        <f t="shared" ref="E51:H51" si="13">E50/12/5968.42</f>
        <v>0.83737739077790585</v>
      </c>
      <c r="F51" s="127">
        <f t="shared" si="13"/>
        <v>1.403013512416863E-4</v>
      </c>
      <c r="G51" s="127">
        <f t="shared" si="13"/>
        <v>0</v>
      </c>
      <c r="H51" s="127">
        <f t="shared" si="13"/>
        <v>12.937414201190043</v>
      </c>
    </row>
    <row r="52" spans="1:13" x14ac:dyDescent="0.2">
      <c r="B52" s="105"/>
      <c r="C52" s="105"/>
      <c r="E52" s="105"/>
      <c r="F52" s="128"/>
      <c r="G52" s="128"/>
      <c r="H52" s="129"/>
      <c r="I52" s="128"/>
    </row>
    <row r="53" spans="1:13" x14ac:dyDescent="0.2">
      <c r="B53" s="130"/>
    </row>
    <row r="54" spans="1:13" x14ac:dyDescent="0.2">
      <c r="H54" s="131"/>
      <c r="J54" s="131"/>
    </row>
    <row r="55" spans="1:13" x14ac:dyDescent="0.2">
      <c r="B55" s="105"/>
      <c r="C55" s="105"/>
      <c r="D55" s="105"/>
      <c r="E55" s="105"/>
      <c r="F55" s="105"/>
      <c r="G55" s="105"/>
      <c r="H55" s="105"/>
      <c r="I55" s="105"/>
    </row>
    <row r="56" spans="1:13" x14ac:dyDescent="0.2">
      <c r="B56" s="105"/>
      <c r="C56" s="105"/>
      <c r="D56" s="105"/>
      <c r="E56" s="105"/>
      <c r="F56" s="105"/>
      <c r="G56" s="105"/>
      <c r="H56" s="105"/>
      <c r="I56" s="105"/>
    </row>
    <row r="57" spans="1:13" x14ac:dyDescent="0.2">
      <c r="B57" s="105"/>
      <c r="C57" s="105"/>
      <c r="D57" s="105"/>
      <c r="E57" s="105"/>
      <c r="F57" s="105"/>
      <c r="G57" s="127"/>
      <c r="H57" s="127"/>
      <c r="I57" s="127"/>
    </row>
    <row r="58" spans="1:13" x14ac:dyDescent="0.2">
      <c r="B58" s="105"/>
      <c r="C58" s="105"/>
      <c r="D58" s="105"/>
      <c r="E58" s="105"/>
      <c r="F58" s="105"/>
      <c r="G58" s="105"/>
      <c r="H58" s="105"/>
      <c r="I58" s="105"/>
    </row>
  </sheetData>
  <pageMargins left="0.14583333333333334" right="4.1666666666666664E-2" top="0.36" bottom="0.3125" header="0.23" footer="0.2800000000000000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view="pageLayout" topLeftCell="A5" zoomScaleNormal="100" workbookViewId="0">
      <selection activeCell="E10" sqref="E10"/>
    </sheetView>
  </sheetViews>
  <sheetFormatPr defaultRowHeight="12.75" x14ac:dyDescent="0.2"/>
  <cols>
    <col min="1" max="1" width="25.28515625" customWidth="1"/>
    <col min="3" max="3" width="16.28515625" customWidth="1"/>
    <col min="4" max="4" width="15.28515625" customWidth="1"/>
    <col min="5" max="5" width="20.42578125" customWidth="1"/>
    <col min="6" max="6" width="13.7109375" customWidth="1"/>
    <col min="7" max="7" width="14.28515625" customWidth="1"/>
    <col min="8" max="8" width="14.5703125" customWidth="1"/>
    <col min="9" max="9" width="14.140625" customWidth="1"/>
  </cols>
  <sheetData>
    <row r="1" spans="1:9" ht="15.75" x14ac:dyDescent="0.25">
      <c r="D1" s="1" t="s">
        <v>0</v>
      </c>
    </row>
    <row r="2" spans="1:9" ht="15.75" x14ac:dyDescent="0.25">
      <c r="B2" s="2"/>
      <c r="C2" s="2"/>
      <c r="D2" s="2" t="s">
        <v>1</v>
      </c>
    </row>
    <row r="3" spans="1:9" ht="15.75" x14ac:dyDescent="0.25">
      <c r="A3" s="3"/>
      <c r="B3" s="4"/>
      <c r="C3" s="4"/>
      <c r="D3" s="5" t="s">
        <v>2</v>
      </c>
    </row>
    <row r="4" spans="1:9" ht="15.75" x14ac:dyDescent="0.25">
      <c r="A4" s="3" t="s">
        <v>3</v>
      </c>
      <c r="B4" s="4"/>
      <c r="C4" s="4"/>
      <c r="D4" s="5" t="s">
        <v>4</v>
      </c>
    </row>
    <row r="5" spans="1:9" x14ac:dyDescent="0.2">
      <c r="A5" s="3"/>
      <c r="B5" s="4"/>
      <c r="C5" s="4"/>
      <c r="D5" s="6" t="s">
        <v>5</v>
      </c>
    </row>
    <row r="6" spans="1:9" ht="18" x14ac:dyDescent="0.25">
      <c r="A6" s="7" t="s">
        <v>6</v>
      </c>
      <c r="B6" s="7"/>
      <c r="C6" s="8"/>
      <c r="D6" s="9"/>
      <c r="E6" s="10">
        <f>[1]отчет2012!H27-169167.57</f>
        <v>-270767.57999999978</v>
      </c>
      <c r="F6" s="11"/>
      <c r="G6" s="8"/>
      <c r="H6" s="8"/>
    </row>
    <row r="7" spans="1:9" ht="18.75" thickBot="1" x14ac:dyDescent="0.3">
      <c r="A7" s="12" t="s">
        <v>7</v>
      </c>
      <c r="B7" s="7"/>
      <c r="C7" s="8"/>
      <c r="D7" s="9"/>
      <c r="E7" s="10">
        <f>[1]отчет2012!H24</f>
        <v>504270.60000000009</v>
      </c>
      <c r="G7" s="8"/>
      <c r="H7" s="8"/>
      <c r="I7" s="13"/>
    </row>
    <row r="8" spans="1:9" ht="51" x14ac:dyDescent="0.2">
      <c r="A8" s="14" t="s">
        <v>8</v>
      </c>
      <c r="B8" s="15" t="s">
        <v>9</v>
      </c>
      <c r="C8" s="16" t="s">
        <v>10</v>
      </c>
      <c r="D8" s="16" t="s">
        <v>11</v>
      </c>
      <c r="E8" s="17" t="s">
        <v>12</v>
      </c>
      <c r="F8" s="18" t="s">
        <v>13</v>
      </c>
      <c r="G8" s="19" t="s">
        <v>14</v>
      </c>
      <c r="H8" s="19" t="s">
        <v>15</v>
      </c>
      <c r="I8" s="13"/>
    </row>
    <row r="9" spans="1:9" x14ac:dyDescent="0.2">
      <c r="A9" s="21">
        <v>1</v>
      </c>
      <c r="B9" s="22">
        <v>2</v>
      </c>
      <c r="C9" s="23">
        <v>3</v>
      </c>
      <c r="D9" s="24">
        <v>4</v>
      </c>
      <c r="E9" s="23">
        <v>5</v>
      </c>
      <c r="F9" s="24">
        <v>6</v>
      </c>
      <c r="G9" s="21">
        <v>7</v>
      </c>
      <c r="H9" s="25">
        <v>8</v>
      </c>
      <c r="I9" s="13"/>
    </row>
    <row r="10" spans="1:9" ht="29.25" customHeight="1" x14ac:dyDescent="0.2">
      <c r="A10" s="26" t="s">
        <v>16</v>
      </c>
      <c r="B10" s="27">
        <v>1</v>
      </c>
      <c r="C10" s="28">
        <f>D10</f>
        <v>926304.26</v>
      </c>
      <c r="D10" s="28">
        <v>926304.26</v>
      </c>
      <c r="E10" s="29">
        <f>[2]начислено!$U$5-[2]начислено!$E$5+[3]начислено!$B$3+[3]начислено!$C$3-E21+51507.55</f>
        <v>669775.44000000006</v>
      </c>
      <c r="F10" s="30">
        <f>[2]оплата!$U$4-[2]оплата!$E$4+[2]оплата!$U$7-[2]оплата!$E$7+[2]оплата!$U$17-[2]оплата!$E$17+[3]оплата!$B$3+[3]оплата!$C$3+[3]оплата!$B$5+[3]оплата!$C$5+[3]оплата!$C$14-F21+300+52104.99+62.69</f>
        <v>679129.26000000024</v>
      </c>
      <c r="G10" s="31"/>
      <c r="H10" s="32">
        <f>D10-E10</f>
        <v>256528.81999999995</v>
      </c>
      <c r="I10" s="33"/>
    </row>
    <row r="11" spans="1:9" ht="14.25" x14ac:dyDescent="0.2">
      <c r="A11" s="34" t="s">
        <v>17</v>
      </c>
      <c r="B11" s="27">
        <v>2</v>
      </c>
      <c r="C11" s="35"/>
      <c r="D11" s="36"/>
      <c r="E11" s="29"/>
      <c r="F11" s="29">
        <v>0</v>
      </c>
      <c r="G11" s="31"/>
      <c r="H11" s="32">
        <f t="shared" ref="H11:H19" si="0">D11-E11</f>
        <v>0</v>
      </c>
      <c r="I11" s="33"/>
    </row>
    <row r="12" spans="1:9" ht="14.25" x14ac:dyDescent="0.2">
      <c r="A12" s="34" t="s">
        <v>18</v>
      </c>
      <c r="B12" s="27">
        <v>3</v>
      </c>
      <c r="C12" s="28">
        <f>'[4]2013'!$N$48-'[4]2013'!$B$48-'[4]2013'!$C$48-'[4]2013'!$D$48+'[4]2014'!$B$48+'[4]2014'!$C$48+'[4]2014'!$D$48</f>
        <v>485411.14287120005</v>
      </c>
      <c r="D12" s="37">
        <f>'[4]2013'!$N$49-'[4]2013'!$B$49-'[4]2013'!$C$49-'[4]2013'!$D$49+'[4]2014'!$B$49+'[4]2014'!$C$49+'[4]2014'!$D$49</f>
        <v>485411.14287120005</v>
      </c>
      <c r="E12" s="29">
        <f>[2]начислено!$U$6-[2]начислено!$E$6+[3]начислено!$B$4+[3]начислено!$C$4+35902.25</f>
        <v>465330.95999999996</v>
      </c>
      <c r="F12" s="29">
        <f>[2]оплата!$U$5-[2]оплата!$E$5+[3]оплата!$B$4+[3]оплата!$C$4+23601.03</f>
        <v>432344.87</v>
      </c>
      <c r="G12" s="31"/>
      <c r="H12" s="32">
        <f>D12-E12</f>
        <v>20080.182871200086</v>
      </c>
      <c r="I12" s="33"/>
    </row>
    <row r="13" spans="1:9" ht="14.25" x14ac:dyDescent="0.2">
      <c r="A13" s="34" t="s">
        <v>19</v>
      </c>
      <c r="B13" s="27">
        <v>4</v>
      </c>
      <c r="C13" s="28">
        <f>'[4]2013'!$N$44-'[4]2013'!$B$44-'[4]2013'!$C$44-'[4]2013'!$D$44+'[4]2014'!$B$44+'[4]2014'!$C$44+'[4]2014'!$D$44</f>
        <v>275522.22000000009</v>
      </c>
      <c r="D13" s="37">
        <v>275522.21999999997</v>
      </c>
      <c r="E13" s="29">
        <f>[2]начислено!$U$9-[2]начислено!$E$9+[3]начислено!$B$5+[3]начислено!$C$5+20239.05</f>
        <v>249801.81999999998</v>
      </c>
      <c r="F13" s="29">
        <f>[2]оплата!$U$8-[2]оплата!$E$8+[3]оплата!$B$6+[3]оплата!$C$6+18555.55</f>
        <v>247084.81</v>
      </c>
      <c r="G13" s="31"/>
      <c r="H13" s="32">
        <f>D13-E13</f>
        <v>25720.399999999994</v>
      </c>
      <c r="I13" s="13"/>
    </row>
    <row r="14" spans="1:9" ht="14.25" x14ac:dyDescent="0.2">
      <c r="A14" s="34" t="s">
        <v>20</v>
      </c>
      <c r="B14" s="27">
        <v>5</v>
      </c>
      <c r="C14" s="28">
        <f>'[4]2013'!$N$40-'[4]2013'!$B$40-'[4]2013'!$C$40-'[4]2013'!$D$40+'[4]2014'!$B$40+'[4]2014'!$C$40+'[4]2014'!$D$40</f>
        <v>155719.16700000002</v>
      </c>
      <c r="D14" s="37">
        <f>'[4]2013'!$N$41-'[4]2013'!$B$41-'[4]2013'!$C$41-'[4]2013'!$D$41+'[4]2014'!$B$41+'[4]2014'!$C$41+'[4]2014'!$D$41+0.01</f>
        <v>155719.17700000003</v>
      </c>
      <c r="E14" s="29">
        <f>[2]начислено!$U$10-[2]начислено!$E$10+[3]начислено!$B$6+[3]начислено!$C$6+14052.45</f>
        <v>152611.87000000002</v>
      </c>
      <c r="F14" s="29">
        <f>[2]оплата!$U$9-[2]оплата!$E$9+[3]оплата!$B$7+[3]оплата!$C$7+11208.23</f>
        <v>145425.34000000003</v>
      </c>
      <c r="G14" s="31"/>
      <c r="H14" s="32">
        <f>D14-E14</f>
        <v>3107.3070000000007</v>
      </c>
      <c r="I14" s="38"/>
    </row>
    <row r="15" spans="1:9" ht="14.25" x14ac:dyDescent="0.2">
      <c r="A15" s="34" t="s">
        <v>21</v>
      </c>
      <c r="B15" s="27">
        <v>6</v>
      </c>
      <c r="C15" s="28">
        <f>D15</f>
        <v>82875</v>
      </c>
      <c r="D15" s="28">
        <v>82875</v>
      </c>
      <c r="E15" s="29">
        <f>[2]начислено!$U$12-[2]начислено!$E$12+[3]начислено!$B$8+[3]начислено!$C$8+8540</f>
        <v>88101.310000000012</v>
      </c>
      <c r="F15" s="29">
        <f>[2]оплата!$U$12-[2]оплата!$E$12+[3]оплата!$B$9+[3]оплата!$C$9+8364.29</f>
        <v>84333.37</v>
      </c>
      <c r="G15" s="31"/>
      <c r="H15" s="32">
        <f t="shared" si="0"/>
        <v>-5226.3100000000122</v>
      </c>
      <c r="I15" s="13"/>
    </row>
    <row r="16" spans="1:9" ht="14.25" x14ac:dyDescent="0.2">
      <c r="A16" s="34" t="s">
        <v>22</v>
      </c>
      <c r="B16" s="27">
        <v>7</v>
      </c>
      <c r="C16" s="28">
        <f>'[4]2013'!$N$52-'[4]2013'!$B$52-'[4]2013'!$C$52-'[4]2013'!$D$52+'[4]2014'!$B$52+'[4]2014'!$C$52+'[4]2014'!$D$52</f>
        <v>1390596.81745</v>
      </c>
      <c r="D16" s="39">
        <f>'[4]2013'!$N$53-'[4]2013'!$B$53-'[4]2013'!$C$53-'[4]2013'!$D$53+'[4]2014'!$B$53+'[4]2014'!$C$53+'[4]2014'!$D$53+0.02</f>
        <v>1390596.83745</v>
      </c>
      <c r="E16" s="29">
        <f>[2]начислено!$U$13-[2]начислено!$E$13+[3]начислено!$B$9+[3]начислено!$C$9+142105.58</f>
        <v>1490421.1200000003</v>
      </c>
      <c r="F16" s="29">
        <f>[2]оплата!$U$13-[2]оплата!$E$13+[3]оплата!$B$10+[3]оплата!$C$10+131309.39</f>
        <v>1414402.6400000001</v>
      </c>
      <c r="G16" s="31"/>
      <c r="H16" s="32">
        <f>D16-E16</f>
        <v>-99824.282550000353</v>
      </c>
      <c r="I16" s="13"/>
    </row>
    <row r="17" spans="1:9" ht="14.25" x14ac:dyDescent="0.2">
      <c r="A17" s="34" t="s">
        <v>23</v>
      </c>
      <c r="B17" s="27">
        <v>8</v>
      </c>
      <c r="C17" s="28">
        <f>D17</f>
        <v>31189.119999999999</v>
      </c>
      <c r="D17" s="28">
        <v>31189.119999999999</v>
      </c>
      <c r="E17" s="29">
        <f>[2]начислено!$U$11-[2]начислено!$E$11+[3]начислено!$B$7+[3]начислено!$C$7+2604</f>
        <v>31395</v>
      </c>
      <c r="F17" s="29">
        <f>[2]оплата!$U$10-[2]оплата!$E$10+[3]оплата!$B$8+[3]оплата!$C$8+2547.16</f>
        <v>31622.829999999998</v>
      </c>
      <c r="G17" s="31"/>
      <c r="H17" s="32">
        <f t="shared" si="0"/>
        <v>-205.88000000000102</v>
      </c>
      <c r="I17" s="13"/>
    </row>
    <row r="18" spans="1:9" ht="14.25" x14ac:dyDescent="0.2">
      <c r="A18" s="34" t="s">
        <v>24</v>
      </c>
      <c r="B18" s="27">
        <v>9</v>
      </c>
      <c r="C18" s="28">
        <f>D18</f>
        <v>4361.5</v>
      </c>
      <c r="D18" s="28">
        <f>3315+1046.5</f>
        <v>4361.5</v>
      </c>
      <c r="E18" s="29">
        <f>[2]начислено!$U$14-[2]начислено!$E$14+[3]начислено!$B$10+[3]начислено!$C$10+344.5</f>
        <v>4361.5</v>
      </c>
      <c r="F18" s="29">
        <f>[2]оплата!$U$14-[2]оплата!$E$14+[3]оплата!$E$11</f>
        <v>4295.3999999999996</v>
      </c>
      <c r="G18" s="31"/>
      <c r="H18" s="32">
        <f t="shared" si="0"/>
        <v>0</v>
      </c>
      <c r="I18" s="13"/>
    </row>
    <row r="19" spans="1:9" ht="14.25" x14ac:dyDescent="0.2">
      <c r="A19" s="40" t="s">
        <v>25</v>
      </c>
      <c r="B19" s="27">
        <v>10</v>
      </c>
      <c r="C19" s="41">
        <f>D19</f>
        <v>11039.15</v>
      </c>
      <c r="D19" s="41">
        <v>11039.15</v>
      </c>
      <c r="E19" s="42">
        <f>[2]начислено!$U$3-[2]начислено!$E$3</f>
        <v>9590.5000000000018</v>
      </c>
      <c r="F19" s="42">
        <f>[2]оплата!$U$2-[2]оплата!$E$2+[3]оплата!$B$2+[3]оплата!$C$2+80.63</f>
        <v>15803.64</v>
      </c>
      <c r="G19" s="31"/>
      <c r="H19" s="32">
        <f t="shared" si="0"/>
        <v>1448.6499999999978</v>
      </c>
      <c r="I19" s="13"/>
    </row>
    <row r="20" spans="1:9" ht="14.25" x14ac:dyDescent="0.2">
      <c r="A20" s="40" t="s">
        <v>26</v>
      </c>
      <c r="B20" s="27">
        <v>11</v>
      </c>
      <c r="C20" s="41">
        <f>D20</f>
        <v>8528.86</v>
      </c>
      <c r="D20" s="41">
        <f>E20</f>
        <v>8528.86</v>
      </c>
      <c r="E20" s="42">
        <f>[2]начислено!$U$15-[2]начислено!$E$15+[3]начислено!$B$11+[3]начислено!$C$11+[3]начислено!$D$11</f>
        <v>8528.86</v>
      </c>
      <c r="F20" s="42">
        <f>[2]оплата!$U$15-[2]оплата!$E$15+[3]оплата!$B$12+[3]оплата!$C$12+35.1</f>
        <v>1792.13</v>
      </c>
      <c r="G20" s="31"/>
      <c r="H20" s="32">
        <f>D20-E20</f>
        <v>0</v>
      </c>
      <c r="I20" s="13"/>
    </row>
    <row r="21" spans="1:9" ht="14.25" x14ac:dyDescent="0.2">
      <c r="A21" s="43" t="s">
        <v>27</v>
      </c>
      <c r="B21" s="44">
        <v>12</v>
      </c>
      <c r="C21" s="41">
        <f>D21</f>
        <v>21463.18</v>
      </c>
      <c r="D21" s="41">
        <f>880+47+216+1748+6000+3449+689.8+4361.38+3000+1000+72</f>
        <v>21463.18</v>
      </c>
      <c r="E21" s="42">
        <f>15119.4</f>
        <v>15119.4</v>
      </c>
      <c r="F21" s="42">
        <f>4089.41+1858.21+220+440.79+3570.67+1000</f>
        <v>11179.08</v>
      </c>
      <c r="G21" s="31"/>
      <c r="H21" s="32">
        <f>D21-E21</f>
        <v>6343.7800000000007</v>
      </c>
      <c r="I21" s="13"/>
    </row>
    <row r="22" spans="1:9" ht="16.5" thickBot="1" x14ac:dyDescent="0.3">
      <c r="A22" s="45" t="s">
        <v>28</v>
      </c>
      <c r="B22" s="46">
        <v>13</v>
      </c>
      <c r="C22" s="47">
        <f>SUM(C10:C21)</f>
        <v>3393010.4173212</v>
      </c>
      <c r="D22" s="47">
        <f t="shared" ref="D22:F22" si="1">SUM(D10:D21)</f>
        <v>3393010.4473212003</v>
      </c>
      <c r="E22" s="47">
        <f t="shared" si="1"/>
        <v>3185037.7800000003</v>
      </c>
      <c r="F22" s="47">
        <f t="shared" si="1"/>
        <v>3067413.3700000006</v>
      </c>
      <c r="G22" s="48">
        <f>F22/E22</f>
        <v>0.96306969708849111</v>
      </c>
      <c r="H22" s="49">
        <f>SUM(H10:H21)</f>
        <v>207972.66732119967</v>
      </c>
      <c r="I22" s="13"/>
    </row>
    <row r="23" spans="1:9" ht="22.5" customHeight="1" x14ac:dyDescent="0.25">
      <c r="A23" s="135" t="s">
        <v>29</v>
      </c>
      <c r="B23" s="136"/>
      <c r="C23" s="50"/>
      <c r="D23" s="51"/>
      <c r="E23" s="52">
        <f>D22-E22</f>
        <v>207972.66732120002</v>
      </c>
      <c r="F23" s="52"/>
      <c r="G23" s="53"/>
      <c r="H23" s="52"/>
      <c r="I23" s="13"/>
    </row>
    <row r="24" spans="1:9" ht="18" customHeight="1" x14ac:dyDescent="0.3">
      <c r="A24" s="54" t="s">
        <v>30</v>
      </c>
      <c r="B24" s="55"/>
      <c r="C24" s="55"/>
      <c r="D24" s="55"/>
      <c r="E24" s="55"/>
      <c r="F24" s="137">
        <f>E22-F22</f>
        <v>117624.40999999968</v>
      </c>
      <c r="G24" s="137"/>
      <c r="H24" s="138"/>
      <c r="I24" s="13"/>
    </row>
    <row r="25" spans="1:9" ht="18" x14ac:dyDescent="0.25">
      <c r="A25" s="54" t="s">
        <v>31</v>
      </c>
      <c r="B25" s="55"/>
      <c r="C25" s="55"/>
      <c r="D25" s="55"/>
      <c r="E25" s="55"/>
      <c r="G25" s="56"/>
      <c r="H25" s="56">
        <f>F24+E7</f>
        <v>621895.00999999978</v>
      </c>
    </row>
    <row r="26" spans="1:9" ht="18" x14ac:dyDescent="0.25">
      <c r="A26" s="58" t="s">
        <v>32</v>
      </c>
      <c r="B26" s="55"/>
      <c r="C26" s="55"/>
      <c r="D26" s="55"/>
      <c r="E26" s="55"/>
      <c r="F26" s="59"/>
      <c r="G26" s="59"/>
      <c r="H26" s="60">
        <f>D22-(E22)+E6</f>
        <v>-62794.912678799767</v>
      </c>
    </row>
    <row r="27" spans="1:9" ht="15" x14ac:dyDescent="0.2">
      <c r="A27" s="139" t="s">
        <v>33</v>
      </c>
      <c r="B27" s="140"/>
      <c r="C27" s="140"/>
      <c r="D27" s="140"/>
      <c r="E27" s="140"/>
      <c r="F27" s="140"/>
      <c r="G27" s="141"/>
      <c r="H27" s="20">
        <f>1338*4</f>
        <v>5352</v>
      </c>
    </row>
    <row r="28" spans="1:9" ht="15" x14ac:dyDescent="0.2">
      <c r="A28" s="139" t="s">
        <v>34</v>
      </c>
      <c r="B28" s="140"/>
      <c r="C28" s="140"/>
      <c r="D28" s="140"/>
      <c r="E28" s="140"/>
      <c r="F28" s="140"/>
      <c r="G28" s="141"/>
      <c r="H28" s="61">
        <f>H26-H27</f>
        <v>-68146.912678799767</v>
      </c>
    </row>
    <row r="30" spans="1:9" ht="15" x14ac:dyDescent="0.2">
      <c r="A30" s="142" t="s">
        <v>35</v>
      </c>
      <c r="B30" s="142"/>
      <c r="C30" s="142"/>
      <c r="D30" s="142"/>
      <c r="E30" s="62"/>
      <c r="F30" s="62"/>
      <c r="G30" s="62"/>
      <c r="H30" s="63" t="s">
        <v>36</v>
      </c>
    </row>
    <row r="31" spans="1:9" ht="18" customHeight="1" x14ac:dyDescent="0.2">
      <c r="A31" s="64" t="s">
        <v>37</v>
      </c>
      <c r="B31" s="53"/>
      <c r="C31" s="53"/>
      <c r="D31" s="53"/>
      <c r="E31" s="53"/>
      <c r="F31" s="53"/>
      <c r="G31" s="65"/>
      <c r="H31" s="62" t="s">
        <v>38</v>
      </c>
    </row>
    <row r="32" spans="1:9" x14ac:dyDescent="0.2">
      <c r="A32" s="53"/>
      <c r="B32" s="53"/>
      <c r="C32" s="53"/>
      <c r="D32" s="53"/>
      <c r="E32" s="53"/>
      <c r="F32" s="53"/>
      <c r="G32" s="53"/>
      <c r="H32" s="53"/>
    </row>
    <row r="34" spans="3:6" x14ac:dyDescent="0.2">
      <c r="D34" s="57"/>
    </row>
    <row r="35" spans="3:6" x14ac:dyDescent="0.2">
      <c r="C35" s="66"/>
      <c r="D35" s="66"/>
      <c r="E35" s="66"/>
      <c r="F35" s="57"/>
    </row>
    <row r="36" spans="3:6" x14ac:dyDescent="0.2">
      <c r="C36" s="57"/>
      <c r="D36" s="57"/>
      <c r="E36" s="57"/>
      <c r="F36" s="57"/>
    </row>
  </sheetData>
  <mergeCells count="5">
    <mergeCell ref="A23:B23"/>
    <mergeCell ref="F24:H24"/>
    <mergeCell ref="A27:G27"/>
    <mergeCell ref="A28:G28"/>
    <mergeCell ref="A30:D30"/>
  </mergeCells>
  <pageMargins left="0.35" right="0.1875" top="0.28000000000000003" bottom="0.71" header="0.2" footer="0.38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2013 (отчет за год)</vt:lpstr>
      <vt:lpstr>отчет2013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2014-05-21T06:08:56Z</dcterms:created>
  <dcterms:modified xsi:type="dcterms:W3CDTF">2014-07-08T11:12:48Z</dcterms:modified>
</cp:coreProperties>
</file>